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02"/>
  </bookViews>
  <sheets>
    <sheet name="Directions" sheetId="2" r:id="rId1"/>
    <sheet name="1-StartingPoint" sheetId="3" r:id="rId2"/>
    <sheet name="2a-PayrollYear1" sheetId="4" r:id="rId3"/>
    <sheet name="2b-PayrollYrs1-3" sheetId="5" r:id="rId4"/>
    <sheet name="3a-SalesForecastYear1" sheetId="6" r:id="rId5"/>
    <sheet name="3b-SalesForecastYrs1-3" sheetId="7" r:id="rId6"/>
    <sheet name="4-AdditionalInputs" sheetId="8" r:id="rId7"/>
    <sheet name="5a-OpExYear1" sheetId="9" r:id="rId8"/>
    <sheet name="5b-OpExYrs1-3" sheetId="10" r:id="rId9"/>
    <sheet name="6a-CashFlowYear1" sheetId="11" r:id="rId10"/>
    <sheet name="6b-CashFlowYrs1-3" sheetId="12" r:id="rId11"/>
    <sheet name="7a-IncomeStatementYear1" sheetId="13" r:id="rId12"/>
    <sheet name="7b-IncomeStatementYrs1-3" sheetId="14" r:id="rId13"/>
    <sheet name="8-BalanceSheet" sheetId="15" r:id="rId14"/>
    <sheet name="BreakevenAnalysis" sheetId="16" r:id="rId15"/>
    <sheet name="FinancialRatios" sheetId="17" r:id="rId16"/>
    <sheet name="DiagnosticTools" sheetId="18" r:id="rId17"/>
    <sheet name="COGS Calculator" sheetId="19" r:id="rId18"/>
    <sheet name="Amortization&amp;Depreciation" sheetId="20" r:id="rId19"/>
    <sheet name="Revision Notes" sheetId="21" r:id="rId20"/>
  </sheets>
  <externalReferences>
    <externalReference r:id="rId21"/>
  </externalReferences>
  <definedNames>
    <definedName name="AddLoans">'1-StartingPoint'!$D$36</definedName>
    <definedName name="Advertising">'1-StartingPoint'!$C$26</definedName>
    <definedName name="Annual_Interest_Rate" localSheetId="16">#REF!</definedName>
    <definedName name="Annual_Interest_Rate">#REF!</definedName>
    <definedName name="Beg_Bal" localSheetId="16">#REF!</definedName>
    <definedName name="Beg_Bal">#REF!</definedName>
    <definedName name="Buildings">'1-StartingPoint'!$C$10</definedName>
    <definedName name="Category1">'3a-SalesForecastYear1'!$B$9</definedName>
    <definedName name="Category1_Annual_Sales">'3a-SalesForecastYear1'!$O$19</definedName>
    <definedName name="Category1_SalesPrice">'3a-SalesForecastYear1'!#REF!</definedName>
    <definedName name="Category2">'3a-SalesForecastYear1'!$B$10</definedName>
    <definedName name="Category2_Annual_Sales">'3a-SalesForecastYear1'!$O$25</definedName>
    <definedName name="Category2_SalesPrice">'3a-SalesForecastYear1'!#REF!</definedName>
    <definedName name="Category3">'3a-SalesForecastYear1'!$B$11</definedName>
    <definedName name="Category3_Annual_Sales">'3a-SalesForecastYear1'!$O$31</definedName>
    <definedName name="Category3_SalesPrice">'3a-SalesForecastYear1'!#REF!</definedName>
    <definedName name="Category4">'3a-SalesForecastYear1'!$B$12</definedName>
    <definedName name="Category4_Annual_Sales">'3a-SalesForecastYear1'!$O$37</definedName>
    <definedName name="Category4_SalesPrice">'3a-SalesForecastYear1'!#REF!</definedName>
    <definedName name="Category5">'3a-SalesForecastYear1'!$B$13</definedName>
    <definedName name="Category5_Annual_Sales">'3a-SalesForecastYear1'!$O$43</definedName>
    <definedName name="Category5_SalesPrice">'3a-SalesForecastYear1'!#REF!</definedName>
    <definedName name="Category6">'3a-SalesForecastYear1'!$B$14</definedName>
    <definedName name="Category6_Annual_Sales">'3a-SalesForecastYear1'!$O$49</definedName>
    <definedName name="Category6_SalesPrice">'3a-SalesForecastYear1'!#REF!</definedName>
    <definedName name="Catergory6">'3a-SalesForecastYear1'!$B$14</definedName>
    <definedName name="CCDebt">'1-StartingPoint'!$D$39</definedName>
    <definedName name="COGS_Annual_Total">'3a-SalesForecastYear1'!$O$54</definedName>
    <definedName name="CommLoan">'1-StartingPoint'!$D$37</definedName>
    <definedName name="CommMortgage">'1-StartingPoint'!$D$38</definedName>
    <definedName name="ContingencyCash">'1-StartingPoint'!#REF!</definedName>
    <definedName name="Equipment">'1-StartingPoint'!$C$12</definedName>
    <definedName name="Extra_Pay" localSheetId="16">#REF!</definedName>
    <definedName name="Extra_Pay">#REF!</definedName>
    <definedName name="Furniture">'1-StartingPoint'!$C$13</definedName>
    <definedName name="Growth_Rate_Yr2">'3b-SalesForecastYrs1-3'!$C$7</definedName>
    <definedName name="Growth_Rate_Yr3">'3b-SalesForecastYrs1-3'!$C$8</definedName>
    <definedName name="Hours" localSheetId="4">'3a-SalesForecastYear1'!$C$9:$C$14</definedName>
    <definedName name="Info_Entered" localSheetId="16">#REF!</definedName>
    <definedName name="Info_Entered">#REF!</definedName>
    <definedName name="Int" localSheetId="16">#REF!</definedName>
    <definedName name="Int">#REF!</definedName>
    <definedName name="InterestRate_ShortTerm" localSheetId="16">#REF!</definedName>
    <definedName name="InterestRate_ShortTerm">#REF!</definedName>
    <definedName name="Inventory">'1-StartingPoint'!$C$21</definedName>
    <definedName name="Land">'1-StartingPoint'!$C$9</definedName>
    <definedName name="Last_Row" localSheetId="16">IF(DiagnosticTools!Values_Entered,Header_Row+DiagnosticTools!Number_of_Payments,Header_Row)</definedName>
    <definedName name="Last_Row">IF(Values_Entered,Header_Row+Number_of_Payments,Header_Row)</definedName>
    <definedName name="LeaseImprovements">'1-StartingPoint'!$C$11</definedName>
    <definedName name="LegalAcctFees">'1-StartingPoint'!$C$22</definedName>
    <definedName name="Licenses">'1-StartingPoint'!$C$27</definedName>
    <definedName name="Loan_Amount" localSheetId="16">#REF!</definedName>
    <definedName name="Loan_Amount">#REF!</definedName>
    <definedName name="Loan_Term_Years" localSheetId="16">#REF!</definedName>
    <definedName name="Loan_Term_Years">#REF!</definedName>
    <definedName name="LoanAmount_ShortTerm" localSheetId="16">#REF!</definedName>
    <definedName name="LoanAmount_ShortTerm">#REF!</definedName>
    <definedName name="LoanTermYears_ShortTerm" localSheetId="16">#REF!</definedName>
    <definedName name="LoanTermYears_ShortTerm">#REF!</definedName>
    <definedName name="Margin_Annual_Total">'3a-SalesForecastYear1'!$O$55</definedName>
    <definedName name="Misc_Expenses">'5a-OpExYear1'!$O$19</definedName>
    <definedName name="Monthly_Payment_LongTerm" localSheetId="16">#REF!</definedName>
    <definedName name="Monthly_Payment_LongTerm">#REF!</definedName>
    <definedName name="NetIncomeY1">'7b-IncomeStatementYrs1-3'!$C$59</definedName>
    <definedName name="NetIncomeY2">'7b-IncomeStatementYrs1-3'!$E$59</definedName>
    <definedName name="NetIncomeY3">'7b-IncomeStatementYrs1-3'!$G$59</definedName>
    <definedName name="Number_of_Payments" localSheetId="16">MATCH(0.01,End_Bal,-1)+1</definedName>
    <definedName name="Number_of_Payments">MATCH(0.01,End_Bal,-1)+1</definedName>
    <definedName name="OfficeSupplies_Expenses">'5a-OpExYear1'!$O$20</definedName>
    <definedName name="Other_Expenses">'5a-OpExYear1'!$O$21</definedName>
    <definedName name="OtherBankDebt">'1-StartingPoint'!$D$41</definedName>
    <definedName name="OtherFixedAssets">'1-StartingPoint'!$C$15</definedName>
    <definedName name="OtherStartUp">'1-StartingPoint'!$C$28</definedName>
    <definedName name="OutsideInvest">'1-StartingPoint'!$D$35</definedName>
    <definedName name="OwnerEquity">'1-StartingPoint'!$D$34</definedName>
    <definedName name="Pay_Num" localSheetId="16">#REF!</definedName>
    <definedName name="Pay_Num">#REF!</definedName>
    <definedName name="Payments_per_Year" localSheetId="16">#REF!</definedName>
    <definedName name="Payments_per_Year">#REF!</definedName>
    <definedName name="PreOpenWages">'1-StartingPoint'!$C$19</definedName>
    <definedName name="PrepaidInsurance">'1-StartingPoint'!$C$20</definedName>
    <definedName name="PricePerUnit_Annual_Total">'3a-SalesForecastYear1'!#REF!</definedName>
    <definedName name="Princ" localSheetId="16">#REF!</definedName>
    <definedName name="Princ">#REF!</definedName>
    <definedName name="_xlnm.Print_Area" localSheetId="1">'1-StartingPoint'!$B$4:$H$52</definedName>
    <definedName name="_xlnm.Print_Area" localSheetId="2">'2a-PayrollYear1'!$A$4:$R$25</definedName>
    <definedName name="_xlnm.Print_Area" localSheetId="3">'2b-PayrollYrs1-3'!$B$4:$G$26</definedName>
    <definedName name="_xlnm.Print_Area" localSheetId="4">'3a-SalesForecastYear1'!$B$4:$Q$55</definedName>
    <definedName name="_xlnm.Print_Area" localSheetId="5">'3b-SalesForecastYrs1-3'!$A$4:$AF$49</definedName>
    <definedName name="_xlnm.Print_Area" localSheetId="6">'4-AdditionalInputs'!$B$4:$R$44</definedName>
    <definedName name="_xlnm.Print_Area" localSheetId="7">'5a-OpExYear1'!$B$4:$O$38</definedName>
    <definedName name="_xlnm.Print_Area" localSheetId="8">'5b-OpExYrs1-3'!$B$4:$G$36</definedName>
    <definedName name="_xlnm.Print_Area" localSheetId="9">'6a-CashFlowYear1'!$B$4:$O$34</definedName>
    <definedName name="_xlnm.Print_Area" localSheetId="10">'6b-CashFlowYrs1-3'!$A$3:$AB$33</definedName>
    <definedName name="_xlnm.Print_Area" localSheetId="11">'7a-IncomeStatementYear1'!$B$4:$O$60</definedName>
    <definedName name="_xlnm.Print_Area" localSheetId="12">'7b-IncomeStatementYrs1-3'!$B$4:$H$59</definedName>
    <definedName name="_xlnm.Print_Area" localSheetId="13">'8-BalanceSheet'!$C$4:$F$46</definedName>
    <definedName name="_xlnm.Print_Area" localSheetId="18">'Amortization&amp;Depreciation'!$B$4:$O$156</definedName>
    <definedName name="_xlnm.Print_Area" localSheetId="14">BreakevenAnalysis!$B$4:$C$20</definedName>
    <definedName name="_xlnm.Print_Area" localSheetId="17">'COGS Calculator'!$B$4:$C$26</definedName>
    <definedName name="_xlnm.Print_Area" localSheetId="16">DiagnosticTools!$B$4:$D$36</definedName>
    <definedName name="_xlnm.Print_Area" localSheetId="0">Directions!$A$1:$H$40</definedName>
    <definedName name="_xlnm.Print_Area" localSheetId="15">FinancialRatios!$B$4:$G$28</definedName>
    <definedName name="_xlnm.Print_Titles" localSheetId="5">'3b-SalesForecastYrs1-3'!$A:$A</definedName>
    <definedName name="_xlnm.Print_Titles" localSheetId="10">'6b-CashFlowYrs1-3'!$A:$A</definedName>
    <definedName name="Projected_Yr2_COGS">'3b-SalesForecastYrs1-3'!#REF!</definedName>
    <definedName name="RentDeposit">'1-StartingPoint'!$C$23</definedName>
    <definedName name="Sales_Annual_Total">'3a-SalesForecastYear1'!$O$53</definedName>
    <definedName name="SalesForecast_yr1">'3b-SalesForecastYrs1-3'!#REF!</definedName>
    <definedName name="SalesForecast_yr2">'3b-SalesForecastYrs1-3'!#REF!</definedName>
    <definedName name="SalesForecast_yr3">'3b-SalesForecastYrs1-3'!#REF!</definedName>
    <definedName name="Sched_Pay" localSheetId="16">#REF!</definedName>
    <definedName name="Sched_Pay">#REF!</definedName>
    <definedName name="Scheduled_Extra_Payments" localSheetId="16">#REF!</definedName>
    <definedName name="Scheduled_Extra_Payments">#REF!</definedName>
    <definedName name="Scheduled_Monthly_Payment" localSheetId="16">#REF!</definedName>
    <definedName name="Scheduled_Monthly_Payment">#REF!</definedName>
    <definedName name="Supplies">'1-StartingPoint'!$C$25</definedName>
    <definedName name="Total_Amount_Paid" localSheetId="16">#REF!</definedName>
    <definedName name="Total_Amount_Paid">#REF!</definedName>
    <definedName name="Total_Fixed_Assets">'1-StartingPoint'!$C$8:$C$15</definedName>
    <definedName name="Total_Interest_Paid" localSheetId="16">#REF!</definedName>
    <definedName name="Total_Interest_Paid">#REF!</definedName>
    <definedName name="Total_Pay" localSheetId="16">#REF!</definedName>
    <definedName name="Total_Pay">#REF!</definedName>
    <definedName name="Total_Payments_LongTerm" localSheetId="16">#REF!</definedName>
    <definedName name="Total_Payments_LongTerm">#REF!</definedName>
    <definedName name="TotalFixedAssets">'1-StartingPoint'!$C$16</definedName>
    <definedName name="TotalFunding">'1-StartingPoint'!$D$42</definedName>
    <definedName name="TotalOperatingCapital">'1-StartingPoint'!$C$30</definedName>
    <definedName name="TotalRequiredFunds">'1-StartingPoint'!$C$31</definedName>
    <definedName name="Unit1">'3a-SalesForecastYear1'!$C$9</definedName>
    <definedName name="Unit1_Annual">'3a-SalesForecastYear1'!$O$18</definedName>
    <definedName name="Unit1_Annual_Sales">'3a-SalesForecastYear1'!$O$19</definedName>
    <definedName name="Unit2">'3a-SalesForecastYear1'!$C$10</definedName>
    <definedName name="Unit2_Annual">'3a-SalesForecastYear1'!$O$24</definedName>
    <definedName name="Unit2_Annual_Sales">'3a-SalesForecastYear1'!$O$25</definedName>
    <definedName name="Unit3">'3a-SalesForecastYear1'!$C$11</definedName>
    <definedName name="Unit3_Annual">'3a-SalesForecastYear1'!$O$30</definedName>
    <definedName name="Unit3_Annual_Sales">'3a-SalesForecastYear1'!$O$31</definedName>
    <definedName name="Unit4">'3a-SalesForecastYear1'!$C$12</definedName>
    <definedName name="Unit4_Annual">'3a-SalesForecastYear1'!$O$36</definedName>
    <definedName name="Unit5">'3a-SalesForecastYear1'!$C$13</definedName>
    <definedName name="Unit5_Annual">'3a-SalesForecastYear1'!$O$42</definedName>
    <definedName name="Unit6">'3a-SalesForecastYear1'!$C$14</definedName>
    <definedName name="Unit6_Annual">'3a-SalesForecastYear1'!$O$48</definedName>
    <definedName name="Units_Annual_Total">'3a-SalesForecastYear1'!$O$52</definedName>
    <definedName name="UtilityDeposit">'1-StartingPoint'!$C$24</definedName>
    <definedName name="Values_Entered" localSheetId="16">IF(DiagnosticTools!Loan_Amount*Interest_Rate*Loan_Years*Loan_Start&gt;0,1,0)</definedName>
    <definedName name="Values_Entered">IF(Loan_Amount*Interest_Rate*Loan_Years*Loan_Start&gt;0,1,0)</definedName>
    <definedName name="VehicleLoan">'1-StartingPoint'!$D$40</definedName>
    <definedName name="Vehicles">'1-StartingPoint'!$C$14</definedName>
    <definedName name="Working_Capital">'1-StartingPoint'!$C$29</definedName>
    <definedName name="WorkingCapital">'1-StartingPoint'!$C$28</definedName>
    <definedName name="Y1EndingCashBal">'6a-CashFlowYear1'!$N$33</definedName>
    <definedName name="YearlyPayments_ShortTerm" localSheetId="16">#REF!</definedName>
    <definedName name="YearlyPayments_ShortTerm">#REF!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5" i="20" l="1"/>
  <c r="D135" i="20" s="1"/>
  <c r="C149" i="20" s="1"/>
  <c r="C134" i="20"/>
  <c r="N126" i="20"/>
  <c r="M126" i="20"/>
  <c r="L126" i="20"/>
  <c r="K126" i="20"/>
  <c r="J126" i="20"/>
  <c r="I126" i="20"/>
  <c r="H126" i="20"/>
  <c r="G126" i="20"/>
  <c r="F126" i="20"/>
  <c r="E126" i="20"/>
  <c r="D126" i="20"/>
  <c r="C126" i="20"/>
  <c r="N122" i="20"/>
  <c r="M122" i="20"/>
  <c r="L122" i="20"/>
  <c r="K122" i="20"/>
  <c r="J122" i="20"/>
  <c r="I122" i="20"/>
  <c r="H122" i="20"/>
  <c r="G122" i="20"/>
  <c r="F122" i="20"/>
  <c r="E122" i="20"/>
  <c r="D122" i="20"/>
  <c r="C122" i="20"/>
  <c r="N118" i="20"/>
  <c r="M118" i="20"/>
  <c r="L118" i="20"/>
  <c r="K118" i="20"/>
  <c r="J118" i="20"/>
  <c r="I118" i="20"/>
  <c r="H118" i="20"/>
  <c r="G118" i="20"/>
  <c r="F118" i="20"/>
  <c r="E118" i="20"/>
  <c r="D118" i="20"/>
  <c r="C117" i="20"/>
  <c r="C119" i="20" s="1"/>
  <c r="C114" i="20"/>
  <c r="B114" i="20"/>
  <c r="C113" i="20"/>
  <c r="B113" i="20"/>
  <c r="C112" i="20"/>
  <c r="B112" i="20"/>
  <c r="C111" i="20"/>
  <c r="B111" i="20"/>
  <c r="C110" i="20"/>
  <c r="B110" i="20"/>
  <c r="C109" i="20"/>
  <c r="B109" i="20"/>
  <c r="I95" i="20"/>
  <c r="I54" i="13" s="1"/>
  <c r="E95" i="20"/>
  <c r="E54" i="13" s="1"/>
  <c r="C91" i="20"/>
  <c r="C90" i="20"/>
  <c r="C89" i="20"/>
  <c r="J76" i="20"/>
  <c r="C71" i="20"/>
  <c r="C70" i="20"/>
  <c r="C69" i="20"/>
  <c r="M64" i="20"/>
  <c r="G64" i="20"/>
  <c r="C64" i="20"/>
  <c r="I63" i="20"/>
  <c r="E63" i="20"/>
  <c r="M60" i="20"/>
  <c r="I60" i="20"/>
  <c r="K59" i="20"/>
  <c r="D59" i="20"/>
  <c r="H56" i="20"/>
  <c r="D56" i="20"/>
  <c r="J55" i="20"/>
  <c r="F55" i="20"/>
  <c r="C52" i="20"/>
  <c r="C51" i="20"/>
  <c r="C50" i="20"/>
  <c r="C49" i="20"/>
  <c r="C44" i="20"/>
  <c r="M43" i="20"/>
  <c r="H43" i="20"/>
  <c r="I40" i="20"/>
  <c r="N39" i="20"/>
  <c r="F39" i="20"/>
  <c r="C39" i="20"/>
  <c r="L36" i="20"/>
  <c r="H36" i="20"/>
  <c r="N35" i="20"/>
  <c r="J35" i="20"/>
  <c r="E35" i="20"/>
  <c r="E51" i="13" s="1"/>
  <c r="C31" i="20"/>
  <c r="C30" i="20"/>
  <c r="C29" i="20"/>
  <c r="N24" i="20"/>
  <c r="E24" i="20"/>
  <c r="C24" i="20"/>
  <c r="K23" i="20"/>
  <c r="F23" i="20"/>
  <c r="K20" i="20"/>
  <c r="I20" i="20"/>
  <c r="M19" i="20"/>
  <c r="L19" i="20"/>
  <c r="F19" i="20"/>
  <c r="J16" i="20"/>
  <c r="F16" i="20"/>
  <c r="E16" i="20"/>
  <c r="H15" i="20"/>
  <c r="G15" i="20"/>
  <c r="C11" i="20"/>
  <c r="C10" i="20"/>
  <c r="C9" i="20"/>
  <c r="C5" i="20"/>
  <c r="B5" i="20"/>
  <c r="C26" i="19"/>
  <c r="C24" i="19"/>
  <c r="C16" i="19"/>
  <c r="C14" i="19"/>
  <c r="C5" i="19"/>
  <c r="B5" i="19"/>
  <c r="D15" i="18"/>
  <c r="C15" i="18"/>
  <c r="D14" i="18"/>
  <c r="C14" i="18"/>
  <c r="D13" i="18"/>
  <c r="C13" i="18"/>
  <c r="D12" i="18"/>
  <c r="C12" i="18"/>
  <c r="C5" i="18"/>
  <c r="B5" i="18"/>
  <c r="C5" i="17"/>
  <c r="B5" i="17"/>
  <c r="C5" i="16"/>
  <c r="B5" i="16"/>
  <c r="F39" i="15"/>
  <c r="E39" i="15"/>
  <c r="D39" i="15"/>
  <c r="E20" i="15"/>
  <c r="D18" i="15"/>
  <c r="F17" i="15"/>
  <c r="E17" i="15"/>
  <c r="D17" i="15"/>
  <c r="D13" i="15"/>
  <c r="E13" i="15" s="1"/>
  <c r="F13" i="15" s="1"/>
  <c r="F7" i="15"/>
  <c r="E7" i="15"/>
  <c r="D7" i="15"/>
  <c r="D5" i="15"/>
  <c r="C5" i="15"/>
  <c r="B40" i="14"/>
  <c r="B39" i="14"/>
  <c r="B38" i="14"/>
  <c r="B37" i="14"/>
  <c r="B36" i="14"/>
  <c r="B35" i="14"/>
  <c r="B34" i="14"/>
  <c r="B33" i="14"/>
  <c r="B32" i="14"/>
  <c r="B31" i="14"/>
  <c r="B30" i="14"/>
  <c r="B29" i="14"/>
  <c r="B28" i="14"/>
  <c r="B27" i="14"/>
  <c r="B26" i="14"/>
  <c r="G7" i="14"/>
  <c r="E7" i="14"/>
  <c r="C7" i="14"/>
  <c r="C5" i="14"/>
  <c r="B5" i="14"/>
  <c r="C55" i="13"/>
  <c r="J52" i="13"/>
  <c r="F52" i="13"/>
  <c r="N51" i="13"/>
  <c r="J51" i="13"/>
  <c r="H50" i="13"/>
  <c r="G50" i="13"/>
  <c r="J44" i="13"/>
  <c r="N41" i="13"/>
  <c r="M41" i="13"/>
  <c r="L41" i="13"/>
  <c r="K41" i="13"/>
  <c r="J41" i="13"/>
  <c r="I41" i="13"/>
  <c r="H41" i="13"/>
  <c r="G41" i="13"/>
  <c r="F41" i="13"/>
  <c r="E41" i="13"/>
  <c r="D41" i="13"/>
  <c r="C41" i="13"/>
  <c r="O41" i="13" s="1"/>
  <c r="B41" i="13"/>
  <c r="N40" i="13"/>
  <c r="M40" i="13"/>
  <c r="L40" i="13"/>
  <c r="K40" i="13"/>
  <c r="J40" i="13"/>
  <c r="I40" i="13"/>
  <c r="H40" i="13"/>
  <c r="G40" i="13"/>
  <c r="F40" i="13"/>
  <c r="E40" i="13"/>
  <c r="D40" i="13"/>
  <c r="C40" i="13"/>
  <c r="O40" i="13" s="1"/>
  <c r="B40" i="13"/>
  <c r="N39" i="13"/>
  <c r="M39" i="13"/>
  <c r="L39" i="13"/>
  <c r="K39" i="13"/>
  <c r="J39" i="13"/>
  <c r="I39" i="13"/>
  <c r="H39" i="13"/>
  <c r="G39" i="13"/>
  <c r="F39" i="13"/>
  <c r="E39" i="13"/>
  <c r="D39" i="13"/>
  <c r="C39" i="13"/>
  <c r="B39" i="13"/>
  <c r="N38" i="13"/>
  <c r="M38" i="13"/>
  <c r="L38" i="13"/>
  <c r="K38" i="13"/>
  <c r="J38" i="13"/>
  <c r="I38" i="13"/>
  <c r="H38" i="13"/>
  <c r="G38" i="13"/>
  <c r="F38" i="13"/>
  <c r="E38" i="13"/>
  <c r="D38" i="13"/>
  <c r="C38" i="13"/>
  <c r="O38" i="13" s="1"/>
  <c r="B38" i="13"/>
  <c r="N37" i="13"/>
  <c r="M37" i="13"/>
  <c r="L37" i="13"/>
  <c r="K37" i="13"/>
  <c r="J37" i="13"/>
  <c r="I37" i="13"/>
  <c r="H37" i="13"/>
  <c r="G37" i="13"/>
  <c r="F37" i="13"/>
  <c r="E37" i="13"/>
  <c r="D37" i="13"/>
  <c r="C37" i="13"/>
  <c r="B37" i="13"/>
  <c r="N36" i="13"/>
  <c r="M36" i="13"/>
  <c r="L36" i="13"/>
  <c r="K36" i="13"/>
  <c r="J36" i="13"/>
  <c r="I36" i="13"/>
  <c r="H36" i="13"/>
  <c r="G36" i="13"/>
  <c r="F36" i="13"/>
  <c r="E36" i="13"/>
  <c r="D36" i="13"/>
  <c r="C36" i="13"/>
  <c r="O36" i="13" s="1"/>
  <c r="B36" i="13"/>
  <c r="N35" i="13"/>
  <c r="M35" i="13"/>
  <c r="L35" i="13"/>
  <c r="K35" i="13"/>
  <c r="J35" i="13"/>
  <c r="I35" i="13"/>
  <c r="H35" i="13"/>
  <c r="G35" i="13"/>
  <c r="F35" i="13"/>
  <c r="E35" i="13"/>
  <c r="D35" i="13"/>
  <c r="C35" i="13"/>
  <c r="B35" i="13"/>
  <c r="N34" i="13"/>
  <c r="M34" i="13"/>
  <c r="L34" i="13"/>
  <c r="K34" i="13"/>
  <c r="J34" i="13"/>
  <c r="I34" i="13"/>
  <c r="H34" i="13"/>
  <c r="G34" i="13"/>
  <c r="F34" i="13"/>
  <c r="E34" i="13"/>
  <c r="D34" i="13"/>
  <c r="C34" i="13"/>
  <c r="B34" i="13"/>
  <c r="N33" i="13"/>
  <c r="M33" i="13"/>
  <c r="L33" i="13"/>
  <c r="K33" i="13"/>
  <c r="J33" i="13"/>
  <c r="I33" i="13"/>
  <c r="H33" i="13"/>
  <c r="G33" i="13"/>
  <c r="F33" i="13"/>
  <c r="E33" i="13"/>
  <c r="D33" i="13"/>
  <c r="C33" i="13"/>
  <c r="O33" i="13" s="1"/>
  <c r="B33" i="13"/>
  <c r="N32" i="13"/>
  <c r="M32" i="13"/>
  <c r="L32" i="13"/>
  <c r="K32" i="13"/>
  <c r="J32" i="13"/>
  <c r="I32" i="13"/>
  <c r="H32" i="13"/>
  <c r="G32" i="13"/>
  <c r="F32" i="13"/>
  <c r="E32" i="13"/>
  <c r="D32" i="13"/>
  <c r="C32" i="13"/>
  <c r="O32" i="13" s="1"/>
  <c r="B32" i="13"/>
  <c r="N31" i="13"/>
  <c r="M31" i="13"/>
  <c r="L31" i="13"/>
  <c r="K31" i="13"/>
  <c r="J31" i="13"/>
  <c r="I31" i="13"/>
  <c r="H31" i="13"/>
  <c r="G31" i="13"/>
  <c r="F31" i="13"/>
  <c r="E31" i="13"/>
  <c r="D31" i="13"/>
  <c r="C31" i="13"/>
  <c r="B31" i="13"/>
  <c r="N30" i="13"/>
  <c r="M30" i="13"/>
  <c r="L30" i="13"/>
  <c r="K30" i="13"/>
  <c r="J30" i="13"/>
  <c r="I30" i="13"/>
  <c r="H30" i="13"/>
  <c r="G30" i="13"/>
  <c r="F30" i="13"/>
  <c r="E30" i="13"/>
  <c r="D30" i="13"/>
  <c r="C30" i="13"/>
  <c r="O30" i="13" s="1"/>
  <c r="B30" i="13"/>
  <c r="N29" i="13"/>
  <c r="M29" i="13"/>
  <c r="L29" i="13"/>
  <c r="K29" i="13"/>
  <c r="J29" i="13"/>
  <c r="I29" i="13"/>
  <c r="H29" i="13"/>
  <c r="G29" i="13"/>
  <c r="F29" i="13"/>
  <c r="E29" i="13"/>
  <c r="D29" i="13"/>
  <c r="C29" i="13"/>
  <c r="B29" i="13"/>
  <c r="N28" i="13"/>
  <c r="N44" i="13" s="1"/>
  <c r="M28" i="13"/>
  <c r="L28" i="13"/>
  <c r="K28" i="13"/>
  <c r="J28" i="13"/>
  <c r="I28" i="13"/>
  <c r="H28" i="13"/>
  <c r="G28" i="13"/>
  <c r="F28" i="13"/>
  <c r="F44" i="13" s="1"/>
  <c r="E28" i="13"/>
  <c r="D28" i="13"/>
  <c r="C28" i="13"/>
  <c r="C44" i="13" s="1"/>
  <c r="B28" i="13"/>
  <c r="N27" i="13"/>
  <c r="M27" i="13"/>
  <c r="L27" i="13"/>
  <c r="K27" i="13"/>
  <c r="J27" i="13"/>
  <c r="I27" i="13"/>
  <c r="H27" i="13"/>
  <c r="G27" i="13"/>
  <c r="F27" i="13"/>
  <c r="E27" i="13"/>
  <c r="D27" i="13"/>
  <c r="C27" i="13"/>
  <c r="O27" i="13" s="1"/>
  <c r="B27" i="13"/>
  <c r="C22" i="13"/>
  <c r="K18" i="13"/>
  <c r="B13" i="13"/>
  <c r="N11" i="13"/>
  <c r="O7" i="13"/>
  <c r="C5" i="13"/>
  <c r="B5" i="13"/>
  <c r="AB27" i="12"/>
  <c r="O27" i="12"/>
  <c r="AB26" i="12"/>
  <c r="O26" i="12"/>
  <c r="AB24" i="12"/>
  <c r="O24" i="12"/>
  <c r="AB16" i="12"/>
  <c r="O16" i="12"/>
  <c r="B16" i="12"/>
  <c r="Q15" i="12"/>
  <c r="N15" i="12"/>
  <c r="I15" i="12"/>
  <c r="F15" i="12"/>
  <c r="C4" i="12"/>
  <c r="B4" i="12"/>
  <c r="O28" i="11"/>
  <c r="B27" i="12" s="1"/>
  <c r="O27" i="11"/>
  <c r="B26" i="12" s="1"/>
  <c r="O25" i="11"/>
  <c r="B24" i="12" s="1"/>
  <c r="H20" i="11"/>
  <c r="G20" i="11"/>
  <c r="O17" i="11"/>
  <c r="D11" i="15" s="1"/>
  <c r="N16" i="11"/>
  <c r="K16" i="11"/>
  <c r="C8" i="11"/>
  <c r="C5" i="11"/>
  <c r="B5" i="11"/>
  <c r="B32" i="10"/>
  <c r="B31" i="10"/>
  <c r="B30" i="10"/>
  <c r="B29" i="10"/>
  <c r="B28" i="10"/>
  <c r="B22" i="10"/>
  <c r="B21" i="10"/>
  <c r="E20" i="10"/>
  <c r="C20" i="10"/>
  <c r="C38" i="14" s="1"/>
  <c r="B20" i="10"/>
  <c r="C19" i="10"/>
  <c r="B19" i="10"/>
  <c r="B18" i="10"/>
  <c r="B17" i="10"/>
  <c r="E16" i="10"/>
  <c r="C16" i="10"/>
  <c r="C34" i="14" s="1"/>
  <c r="B16" i="10"/>
  <c r="C15" i="10"/>
  <c r="B15" i="10"/>
  <c r="B14" i="10"/>
  <c r="B13" i="10"/>
  <c r="E12" i="10"/>
  <c r="C12" i="10"/>
  <c r="C30" i="14" s="1"/>
  <c r="B12" i="10"/>
  <c r="C11" i="10"/>
  <c r="B11" i="10"/>
  <c r="B10" i="10"/>
  <c r="B9" i="10"/>
  <c r="E8" i="10"/>
  <c r="C8" i="10"/>
  <c r="B8" i="10"/>
  <c r="G7" i="10"/>
  <c r="E7" i="10"/>
  <c r="C7" i="10"/>
  <c r="C5" i="10"/>
  <c r="B5" i="10"/>
  <c r="C35" i="9"/>
  <c r="I34" i="9"/>
  <c r="E34" i="9"/>
  <c r="B34" i="9"/>
  <c r="B33" i="9"/>
  <c r="J32" i="9"/>
  <c r="F32" i="9"/>
  <c r="B32" i="9"/>
  <c r="N31" i="9"/>
  <c r="J31" i="9"/>
  <c r="E31" i="9"/>
  <c r="B31" i="9"/>
  <c r="H30" i="9"/>
  <c r="G30" i="9"/>
  <c r="B30" i="9"/>
  <c r="N25" i="9"/>
  <c r="M25" i="9"/>
  <c r="L25" i="9"/>
  <c r="L20" i="11" s="1"/>
  <c r="K25" i="9"/>
  <c r="K20" i="11" s="1"/>
  <c r="J25" i="9"/>
  <c r="I25" i="9"/>
  <c r="H25" i="9"/>
  <c r="G25" i="9"/>
  <c r="F25" i="9"/>
  <c r="E25" i="9"/>
  <c r="D25" i="9"/>
  <c r="D20" i="11" s="1"/>
  <c r="C25" i="9"/>
  <c r="C20" i="11" s="1"/>
  <c r="O24" i="9"/>
  <c r="C22" i="10" s="1"/>
  <c r="O23" i="9"/>
  <c r="C21" i="10" s="1"/>
  <c r="O22" i="9"/>
  <c r="O21" i="9"/>
  <c r="O20" i="9"/>
  <c r="C18" i="10" s="1"/>
  <c r="O19" i="9"/>
  <c r="C17" i="10" s="1"/>
  <c r="O18" i="9"/>
  <c r="O17" i="9"/>
  <c r="O16" i="9"/>
  <c r="C14" i="10" s="1"/>
  <c r="O15" i="9"/>
  <c r="C13" i="10" s="1"/>
  <c r="O14" i="9"/>
  <c r="O13" i="9"/>
  <c r="O12" i="9"/>
  <c r="C10" i="10" s="1"/>
  <c r="O11" i="9"/>
  <c r="C9" i="10" s="1"/>
  <c r="O10" i="9"/>
  <c r="C5" i="9"/>
  <c r="B5" i="9"/>
  <c r="R35" i="8"/>
  <c r="Q35" i="8"/>
  <c r="J15" i="12" s="1"/>
  <c r="O35" i="8"/>
  <c r="N35" i="8"/>
  <c r="M16" i="11" s="1"/>
  <c r="M35" i="8"/>
  <c r="L16" i="11" s="1"/>
  <c r="L35" i="8"/>
  <c r="K35" i="8"/>
  <c r="J16" i="11" s="1"/>
  <c r="J35" i="8"/>
  <c r="I16" i="11" s="1"/>
  <c r="I35" i="8"/>
  <c r="H16" i="11" s="1"/>
  <c r="H35" i="8"/>
  <c r="G16" i="11" s="1"/>
  <c r="G35" i="8"/>
  <c r="F16" i="11" s="1"/>
  <c r="F35" i="8"/>
  <c r="E16" i="11" s="1"/>
  <c r="E35" i="8"/>
  <c r="D16" i="11" s="1"/>
  <c r="P34" i="8"/>
  <c r="D34" i="8"/>
  <c r="P33" i="8"/>
  <c r="D33" i="8"/>
  <c r="P32" i="8"/>
  <c r="D32" i="8"/>
  <c r="P31" i="8"/>
  <c r="D31" i="8"/>
  <c r="P30" i="8"/>
  <c r="D30" i="8"/>
  <c r="P29" i="8"/>
  <c r="D29" i="8"/>
  <c r="D35" i="8" s="1"/>
  <c r="E20" i="8"/>
  <c r="D20" i="8"/>
  <c r="C20" i="8"/>
  <c r="D13" i="8"/>
  <c r="C13" i="8"/>
  <c r="E12" i="8"/>
  <c r="E13" i="8" s="1"/>
  <c r="D12" i="8"/>
  <c r="C12" i="8"/>
  <c r="C5" i="8"/>
  <c r="B5" i="8"/>
  <c r="L46" i="7"/>
  <c r="G46" i="7"/>
  <c r="D46" i="7"/>
  <c r="AF45" i="7"/>
  <c r="Q45" i="7"/>
  <c r="AF44" i="7"/>
  <c r="Z44" i="7"/>
  <c r="R44" i="7"/>
  <c r="Q44" i="7"/>
  <c r="I44" i="7"/>
  <c r="X44" i="7" s="1"/>
  <c r="AF43" i="7"/>
  <c r="Q43" i="7"/>
  <c r="AF42" i="7"/>
  <c r="AA42" i="7"/>
  <c r="Z42" i="7"/>
  <c r="W42" i="7"/>
  <c r="V42" i="7"/>
  <c r="S42" i="7"/>
  <c r="R42" i="7"/>
  <c r="Q42" i="7"/>
  <c r="N42" i="7"/>
  <c r="AC42" i="7" s="1"/>
  <c r="M42" i="7"/>
  <c r="AB42" i="7" s="1"/>
  <c r="L42" i="7"/>
  <c r="K42" i="7"/>
  <c r="J42" i="7"/>
  <c r="Y42" i="7" s="1"/>
  <c r="I42" i="7"/>
  <c r="X42" i="7" s="1"/>
  <c r="H42" i="7"/>
  <c r="G42" i="7"/>
  <c r="F42" i="7"/>
  <c r="U42" i="7" s="1"/>
  <c r="AD42" i="7" s="1"/>
  <c r="E42" i="7"/>
  <c r="T42" i="7" s="1"/>
  <c r="D42" i="7"/>
  <c r="C42" i="7"/>
  <c r="B42" i="7"/>
  <c r="A42" i="7"/>
  <c r="AF39" i="7"/>
  <c r="Q39" i="7"/>
  <c r="AF38" i="7"/>
  <c r="Q38" i="7"/>
  <c r="AF37" i="7"/>
  <c r="Q37" i="7"/>
  <c r="H37" i="7"/>
  <c r="AF36" i="7"/>
  <c r="AA36" i="7"/>
  <c r="Z36" i="7"/>
  <c r="W36" i="7"/>
  <c r="V36" i="7"/>
  <c r="S36" i="7"/>
  <c r="R36" i="7"/>
  <c r="Q36" i="7"/>
  <c r="N36" i="7"/>
  <c r="AC36" i="7" s="1"/>
  <c r="M36" i="7"/>
  <c r="AB36" i="7" s="1"/>
  <c r="L36" i="7"/>
  <c r="K36" i="7"/>
  <c r="J36" i="7"/>
  <c r="Y36" i="7" s="1"/>
  <c r="I36" i="7"/>
  <c r="X36" i="7" s="1"/>
  <c r="H36" i="7"/>
  <c r="G36" i="7"/>
  <c r="F36" i="7"/>
  <c r="U36" i="7" s="1"/>
  <c r="AD36" i="7" s="1"/>
  <c r="E36" i="7"/>
  <c r="T36" i="7" s="1"/>
  <c r="D36" i="7"/>
  <c r="C36" i="7"/>
  <c r="A36" i="7"/>
  <c r="AF33" i="7"/>
  <c r="Q33" i="7"/>
  <c r="AF32" i="7"/>
  <c r="Q32" i="7"/>
  <c r="I32" i="7"/>
  <c r="X32" i="7" s="1"/>
  <c r="AF31" i="7"/>
  <c r="Q31" i="7"/>
  <c r="H31" i="7"/>
  <c r="AF30" i="7"/>
  <c r="AA30" i="7"/>
  <c r="Z30" i="7"/>
  <c r="W30" i="7"/>
  <c r="V30" i="7"/>
  <c r="S30" i="7"/>
  <c r="R30" i="7"/>
  <c r="Q30" i="7"/>
  <c r="N30" i="7"/>
  <c r="AC30" i="7" s="1"/>
  <c r="M30" i="7"/>
  <c r="AB30" i="7" s="1"/>
  <c r="L30" i="7"/>
  <c r="K30" i="7"/>
  <c r="J30" i="7"/>
  <c r="Y30" i="7" s="1"/>
  <c r="I30" i="7"/>
  <c r="X30" i="7" s="1"/>
  <c r="H30" i="7"/>
  <c r="G30" i="7"/>
  <c r="F30" i="7"/>
  <c r="U30" i="7" s="1"/>
  <c r="AD30" i="7" s="1"/>
  <c r="E30" i="7"/>
  <c r="T30" i="7" s="1"/>
  <c r="D30" i="7"/>
  <c r="C30" i="7"/>
  <c r="A30" i="7"/>
  <c r="AF27" i="7"/>
  <c r="Q27" i="7"/>
  <c r="AF26" i="7"/>
  <c r="AC26" i="7"/>
  <c r="Y26" i="7"/>
  <c r="U26" i="7"/>
  <c r="Q26" i="7"/>
  <c r="N26" i="7"/>
  <c r="J26" i="7"/>
  <c r="I26" i="7"/>
  <c r="X26" i="7" s="1"/>
  <c r="F26" i="7"/>
  <c r="AF25" i="7"/>
  <c r="AB25" i="7"/>
  <c r="X25" i="7"/>
  <c r="T25" i="7"/>
  <c r="Q25" i="7"/>
  <c r="M25" i="7"/>
  <c r="I25" i="7"/>
  <c r="H25" i="7"/>
  <c r="E25" i="7"/>
  <c r="AF24" i="7"/>
  <c r="AA24" i="7"/>
  <c r="Z24" i="7"/>
  <c r="W24" i="7"/>
  <c r="V24" i="7"/>
  <c r="S24" i="7"/>
  <c r="R24" i="7"/>
  <c r="Q24" i="7"/>
  <c r="N24" i="7"/>
  <c r="AC24" i="7" s="1"/>
  <c r="M24" i="7"/>
  <c r="AB24" i="7" s="1"/>
  <c r="L24" i="7"/>
  <c r="K24" i="7"/>
  <c r="J24" i="7"/>
  <c r="Y24" i="7" s="1"/>
  <c r="I24" i="7"/>
  <c r="X24" i="7" s="1"/>
  <c r="H24" i="7"/>
  <c r="G24" i="7"/>
  <c r="F24" i="7"/>
  <c r="U24" i="7" s="1"/>
  <c r="AD24" i="7" s="1"/>
  <c r="E24" i="7"/>
  <c r="T24" i="7" s="1"/>
  <c r="D24" i="7"/>
  <c r="C24" i="7"/>
  <c r="O24" i="7" s="1"/>
  <c r="B24" i="7"/>
  <c r="A24" i="7"/>
  <c r="AF21" i="7"/>
  <c r="Q21" i="7"/>
  <c r="AF20" i="7"/>
  <c r="Z20" i="7"/>
  <c r="Q20" i="7"/>
  <c r="M20" i="7"/>
  <c r="AB20" i="7" s="1"/>
  <c r="E20" i="7"/>
  <c r="T20" i="7" s="1"/>
  <c r="AF19" i="7"/>
  <c r="Q19" i="7"/>
  <c r="L19" i="7"/>
  <c r="D19" i="7"/>
  <c r="AF18" i="7"/>
  <c r="AA18" i="7"/>
  <c r="Z18" i="7"/>
  <c r="W18" i="7"/>
  <c r="V18" i="7"/>
  <c r="S18" i="7"/>
  <c r="R18" i="7"/>
  <c r="AD18" i="7" s="1"/>
  <c r="Q18" i="7"/>
  <c r="N18" i="7"/>
  <c r="AC18" i="7" s="1"/>
  <c r="M18" i="7"/>
  <c r="AB18" i="7" s="1"/>
  <c r="L18" i="7"/>
  <c r="K18" i="7"/>
  <c r="J18" i="7"/>
  <c r="Y18" i="7" s="1"/>
  <c r="I18" i="7"/>
  <c r="X18" i="7" s="1"/>
  <c r="H18" i="7"/>
  <c r="G18" i="7"/>
  <c r="F18" i="7"/>
  <c r="U18" i="7" s="1"/>
  <c r="E18" i="7"/>
  <c r="T18" i="7" s="1"/>
  <c r="D18" i="7"/>
  <c r="C18" i="7"/>
  <c r="O18" i="7" s="1"/>
  <c r="A18" i="7"/>
  <c r="AF15" i="7"/>
  <c r="Q15" i="7"/>
  <c r="AF14" i="7"/>
  <c r="Q14" i="7"/>
  <c r="J14" i="7"/>
  <c r="AF13" i="7"/>
  <c r="Y13" i="7"/>
  <c r="Q13" i="7"/>
  <c r="I13" i="7"/>
  <c r="AF12" i="7"/>
  <c r="AA12" i="7"/>
  <c r="AA46" i="7" s="1"/>
  <c r="Z12" i="7"/>
  <c r="Z46" i="7" s="1"/>
  <c r="W12" i="7"/>
  <c r="W46" i="7" s="1"/>
  <c r="V12" i="7"/>
  <c r="V46" i="7" s="1"/>
  <c r="S12" i="7"/>
  <c r="S46" i="7" s="1"/>
  <c r="R12" i="7"/>
  <c r="R46" i="7" s="1"/>
  <c r="Q12" i="7"/>
  <c r="N12" i="7"/>
  <c r="M12" i="7"/>
  <c r="L12" i="7"/>
  <c r="K12" i="7"/>
  <c r="K46" i="7" s="1"/>
  <c r="J12" i="7"/>
  <c r="I12" i="7"/>
  <c r="H12" i="7"/>
  <c r="H46" i="7" s="1"/>
  <c r="G12" i="7"/>
  <c r="F12" i="7"/>
  <c r="E12" i="7"/>
  <c r="D12" i="7"/>
  <c r="C12" i="7"/>
  <c r="C46" i="7" s="1"/>
  <c r="A12" i="7"/>
  <c r="C5" i="7"/>
  <c r="B5" i="7"/>
  <c r="J53" i="6"/>
  <c r="N52" i="6"/>
  <c r="M52" i="6"/>
  <c r="L52" i="6"/>
  <c r="K52" i="6"/>
  <c r="J52" i="6"/>
  <c r="I52" i="6"/>
  <c r="H52" i="6"/>
  <c r="G52" i="6"/>
  <c r="F52" i="6"/>
  <c r="E52" i="6"/>
  <c r="D52" i="6"/>
  <c r="C52" i="6"/>
  <c r="O52" i="6" s="1"/>
  <c r="J51" i="6"/>
  <c r="N50" i="6"/>
  <c r="M50" i="6"/>
  <c r="L50" i="6"/>
  <c r="K50" i="6"/>
  <c r="K44" i="7" s="1"/>
  <c r="J50" i="6"/>
  <c r="I50" i="6"/>
  <c r="I22" i="13" s="1"/>
  <c r="H50" i="6"/>
  <c r="G50" i="6"/>
  <c r="F50" i="6"/>
  <c r="E50" i="6"/>
  <c r="D50" i="6"/>
  <c r="C50" i="6"/>
  <c r="C44" i="7" s="1"/>
  <c r="N49" i="6"/>
  <c r="M49" i="6"/>
  <c r="L49" i="6"/>
  <c r="K49" i="6"/>
  <c r="J49" i="6"/>
  <c r="I49" i="6"/>
  <c r="H49" i="6"/>
  <c r="G49" i="6"/>
  <c r="F49" i="6"/>
  <c r="E49" i="6"/>
  <c r="D49" i="6"/>
  <c r="C49" i="6"/>
  <c r="O48" i="6"/>
  <c r="B48" i="6"/>
  <c r="B47" i="6"/>
  <c r="L45" i="6"/>
  <c r="F45" i="6"/>
  <c r="N44" i="6"/>
  <c r="M44" i="6"/>
  <c r="L44" i="6"/>
  <c r="L38" i="7" s="1"/>
  <c r="AA38" i="7" s="1"/>
  <c r="K44" i="6"/>
  <c r="K45" i="6" s="1"/>
  <c r="J44" i="6"/>
  <c r="I44" i="6"/>
  <c r="I21" i="13" s="1"/>
  <c r="H44" i="6"/>
  <c r="G44" i="6"/>
  <c r="F44" i="6"/>
  <c r="E44" i="6"/>
  <c r="D44" i="6"/>
  <c r="D38" i="7" s="1"/>
  <c r="S38" i="7" s="1"/>
  <c r="C44" i="6"/>
  <c r="C45" i="6" s="1"/>
  <c r="N43" i="6"/>
  <c r="M43" i="6"/>
  <c r="L43" i="6"/>
  <c r="K43" i="6"/>
  <c r="J43" i="6"/>
  <c r="I43" i="6"/>
  <c r="H43" i="6"/>
  <c r="H13" i="13" s="1"/>
  <c r="G43" i="6"/>
  <c r="F43" i="6"/>
  <c r="E43" i="6"/>
  <c r="D43" i="6"/>
  <c r="C43" i="6"/>
  <c r="O42" i="6"/>
  <c r="B36" i="7" s="1"/>
  <c r="B42" i="6"/>
  <c r="B41" i="6"/>
  <c r="N38" i="6"/>
  <c r="M38" i="6"/>
  <c r="M20" i="13" s="1"/>
  <c r="L38" i="6"/>
  <c r="L39" i="6" s="1"/>
  <c r="K38" i="6"/>
  <c r="J38" i="6"/>
  <c r="I38" i="6"/>
  <c r="I20" i="13" s="1"/>
  <c r="H38" i="6"/>
  <c r="G38" i="6"/>
  <c r="F38" i="6"/>
  <c r="E38" i="6"/>
  <c r="E20" i="13" s="1"/>
  <c r="D38" i="6"/>
  <c r="C38" i="6"/>
  <c r="O38" i="6" s="1"/>
  <c r="B32" i="7" s="1"/>
  <c r="C19" i="14" s="1"/>
  <c r="N37" i="6"/>
  <c r="M37" i="6"/>
  <c r="L37" i="6"/>
  <c r="L12" i="13" s="1"/>
  <c r="K37" i="6"/>
  <c r="J37" i="6"/>
  <c r="I37" i="6"/>
  <c r="H37" i="6"/>
  <c r="H12" i="13" s="1"/>
  <c r="G37" i="6"/>
  <c r="F37" i="6"/>
  <c r="E37" i="6"/>
  <c r="E39" i="6" s="1"/>
  <c r="D37" i="6"/>
  <c r="D12" i="13" s="1"/>
  <c r="C37" i="6"/>
  <c r="O36" i="6"/>
  <c r="B30" i="7" s="1"/>
  <c r="B36" i="6"/>
  <c r="B35" i="6"/>
  <c r="J33" i="6"/>
  <c r="I33" i="6"/>
  <c r="E33" i="6"/>
  <c r="N32" i="6"/>
  <c r="N19" i="13" s="1"/>
  <c r="M32" i="6"/>
  <c r="M19" i="13" s="1"/>
  <c r="L32" i="6"/>
  <c r="K32" i="6"/>
  <c r="J32" i="6"/>
  <c r="J19" i="13" s="1"/>
  <c r="I32" i="6"/>
  <c r="I19" i="13" s="1"/>
  <c r="H32" i="6"/>
  <c r="H54" i="6" s="1"/>
  <c r="G32" i="6"/>
  <c r="F32" i="6"/>
  <c r="F19" i="13" s="1"/>
  <c r="E32" i="6"/>
  <c r="E19" i="13" s="1"/>
  <c r="D32" i="6"/>
  <c r="C32" i="6"/>
  <c r="N31" i="6"/>
  <c r="N25" i="7" s="1"/>
  <c r="M31" i="6"/>
  <c r="M11" i="13" s="1"/>
  <c r="L31" i="6"/>
  <c r="L11" i="13" s="1"/>
  <c r="K31" i="6"/>
  <c r="J31" i="6"/>
  <c r="I31" i="6"/>
  <c r="I11" i="13" s="1"/>
  <c r="H31" i="6"/>
  <c r="H11" i="13" s="1"/>
  <c r="G31" i="6"/>
  <c r="F31" i="6"/>
  <c r="E31" i="6"/>
  <c r="E11" i="13" s="1"/>
  <c r="D31" i="6"/>
  <c r="D11" i="13" s="1"/>
  <c r="C31" i="6"/>
  <c r="O30" i="6"/>
  <c r="B30" i="6"/>
  <c r="B29" i="6"/>
  <c r="K27" i="6"/>
  <c r="N26" i="6"/>
  <c r="N18" i="13" s="1"/>
  <c r="M26" i="6"/>
  <c r="M18" i="13" s="1"/>
  <c r="L26" i="6"/>
  <c r="K26" i="6"/>
  <c r="K20" i="7" s="1"/>
  <c r="J26" i="6"/>
  <c r="J18" i="13" s="1"/>
  <c r="I26" i="6"/>
  <c r="I18" i="13" s="1"/>
  <c r="H26" i="6"/>
  <c r="G26" i="6"/>
  <c r="G18" i="13" s="1"/>
  <c r="F26" i="6"/>
  <c r="F18" i="13" s="1"/>
  <c r="E26" i="6"/>
  <c r="E18" i="13" s="1"/>
  <c r="D26" i="6"/>
  <c r="C26" i="6"/>
  <c r="N25" i="6"/>
  <c r="N10" i="13" s="1"/>
  <c r="M25" i="6"/>
  <c r="M10" i="13" s="1"/>
  <c r="L25" i="6"/>
  <c r="L27" i="6" s="1"/>
  <c r="K25" i="6"/>
  <c r="J25" i="6"/>
  <c r="J10" i="13" s="1"/>
  <c r="I25" i="6"/>
  <c r="I10" i="13" s="1"/>
  <c r="H25" i="6"/>
  <c r="G25" i="6"/>
  <c r="F25" i="6"/>
  <c r="F10" i="13" s="1"/>
  <c r="E25" i="6"/>
  <c r="E10" i="13" s="1"/>
  <c r="D25" i="6"/>
  <c r="C25" i="6"/>
  <c r="O24" i="6"/>
  <c r="B18" i="7" s="1"/>
  <c r="B24" i="6"/>
  <c r="B23" i="6"/>
  <c r="N21" i="6"/>
  <c r="C21" i="6"/>
  <c r="N20" i="6"/>
  <c r="N14" i="7" s="1"/>
  <c r="M20" i="6"/>
  <c r="M17" i="13" s="1"/>
  <c r="L20" i="6"/>
  <c r="L14" i="7" s="1"/>
  <c r="K20" i="6"/>
  <c r="J20" i="6"/>
  <c r="I20" i="6"/>
  <c r="I14" i="7" s="1"/>
  <c r="H20" i="6"/>
  <c r="H17" i="13" s="1"/>
  <c r="G20" i="6"/>
  <c r="F20" i="6"/>
  <c r="E20" i="6"/>
  <c r="E17" i="13" s="1"/>
  <c r="D20" i="6"/>
  <c r="C20" i="6"/>
  <c r="N19" i="6"/>
  <c r="M19" i="6"/>
  <c r="L19" i="6"/>
  <c r="K19" i="6"/>
  <c r="K21" i="6" s="1"/>
  <c r="J19" i="6"/>
  <c r="J13" i="7" s="1"/>
  <c r="I19" i="6"/>
  <c r="H19" i="6"/>
  <c r="H21" i="6" s="1"/>
  <c r="G19" i="6"/>
  <c r="F19" i="6"/>
  <c r="E19" i="6"/>
  <c r="D19" i="6"/>
  <c r="C19" i="6"/>
  <c r="O18" i="6"/>
  <c r="B12" i="7" s="1"/>
  <c r="B18" i="6"/>
  <c r="B17" i="6"/>
  <c r="F14" i="6"/>
  <c r="F13" i="6"/>
  <c r="F12" i="6"/>
  <c r="F11" i="6"/>
  <c r="F10" i="6"/>
  <c r="F9" i="6"/>
  <c r="C5" i="6"/>
  <c r="B5" i="6"/>
  <c r="G8" i="5"/>
  <c r="E8" i="5"/>
  <c r="C5" i="5"/>
  <c r="B5" i="5"/>
  <c r="C23" i="4"/>
  <c r="E17" i="4"/>
  <c r="F17" i="4" s="1"/>
  <c r="R14" i="4"/>
  <c r="D12" i="4"/>
  <c r="C12" i="4"/>
  <c r="B12" i="4"/>
  <c r="E18" i="4" s="1"/>
  <c r="F18" i="4" s="1"/>
  <c r="E11" i="4"/>
  <c r="F11" i="4" s="1"/>
  <c r="F10" i="4"/>
  <c r="G10" i="4" s="1"/>
  <c r="H10" i="4" s="1"/>
  <c r="I10" i="4" s="1"/>
  <c r="J10" i="4" s="1"/>
  <c r="K10" i="4" s="1"/>
  <c r="L10" i="4" s="1"/>
  <c r="M10" i="4" s="1"/>
  <c r="N10" i="4" s="1"/>
  <c r="O10" i="4" s="1"/>
  <c r="P10" i="4" s="1"/>
  <c r="Q10" i="4" s="1"/>
  <c r="E10" i="4"/>
  <c r="E9" i="4"/>
  <c r="E21" i="4" s="1"/>
  <c r="F21" i="4" s="1"/>
  <c r="F8" i="4"/>
  <c r="E8" i="4"/>
  <c r="E22" i="4" s="1"/>
  <c r="F22" i="4" s="1"/>
  <c r="C5" i="4"/>
  <c r="B5" i="4"/>
  <c r="C52" i="3"/>
  <c r="D42" i="3"/>
  <c r="C8" i="18" s="1"/>
  <c r="D8" i="18" s="1"/>
  <c r="G41" i="3"/>
  <c r="G40" i="3"/>
  <c r="G39" i="3"/>
  <c r="G38" i="3"/>
  <c r="G42" i="3" s="1"/>
  <c r="G37" i="3"/>
  <c r="C30" i="3"/>
  <c r="C132" i="20" s="1"/>
  <c r="C16" i="3"/>
  <c r="C31" i="3" s="1"/>
  <c r="C5" i="3"/>
  <c r="B5" i="3"/>
  <c r="L34" i="2"/>
  <c r="P7" i="4" s="1"/>
  <c r="H34" i="2"/>
  <c r="L7" i="4" s="1"/>
  <c r="D34" i="2"/>
  <c r="H7" i="4" s="1"/>
  <c r="C32" i="2"/>
  <c r="K34" i="2" s="1"/>
  <c r="O7" i="4" s="1"/>
  <c r="I7" i="13" l="1"/>
  <c r="I8" i="9"/>
  <c r="J28" i="8"/>
  <c r="X10" i="7"/>
  <c r="I10" i="7"/>
  <c r="I16" i="6"/>
  <c r="C9" i="18"/>
  <c r="D9" i="18" s="1"/>
  <c r="C42" i="3"/>
  <c r="C40" i="3"/>
  <c r="C38" i="3"/>
  <c r="C34" i="3"/>
  <c r="D43" i="3"/>
  <c r="E43" i="3" s="1"/>
  <c r="C41" i="3"/>
  <c r="C39" i="3"/>
  <c r="C37" i="3"/>
  <c r="C35" i="3"/>
  <c r="G11" i="4"/>
  <c r="H11" i="4" s="1"/>
  <c r="I11" i="4" s="1"/>
  <c r="J11" i="4" s="1"/>
  <c r="K11" i="4" s="1"/>
  <c r="L11" i="4" s="1"/>
  <c r="M11" i="4" s="1"/>
  <c r="N11" i="4" s="1"/>
  <c r="O11" i="4" s="1"/>
  <c r="P11" i="4" s="1"/>
  <c r="Q11" i="4" s="1"/>
  <c r="R11" i="4"/>
  <c r="C12" i="5" s="1"/>
  <c r="E12" i="5" s="1"/>
  <c r="G12" i="5" s="1"/>
  <c r="X14" i="7"/>
  <c r="I48" i="7"/>
  <c r="G21" i="4"/>
  <c r="H21" i="4" s="1"/>
  <c r="I21" i="4" s="1"/>
  <c r="J21" i="4" s="1"/>
  <c r="K21" i="4" s="1"/>
  <c r="L21" i="4" s="1"/>
  <c r="M21" i="4" s="1"/>
  <c r="N21" i="4" s="1"/>
  <c r="O21" i="4" s="1"/>
  <c r="P21" i="4" s="1"/>
  <c r="Q21" i="4" s="1"/>
  <c r="R21" i="4"/>
  <c r="C22" i="5" s="1"/>
  <c r="E22" i="5" s="1"/>
  <c r="G22" i="5" s="1"/>
  <c r="G17" i="4"/>
  <c r="H17" i="4" s="1"/>
  <c r="I17" i="4" s="1"/>
  <c r="J17" i="4" s="1"/>
  <c r="K17" i="4" s="1"/>
  <c r="L17" i="4" s="1"/>
  <c r="M17" i="4" s="1"/>
  <c r="N17" i="4" s="1"/>
  <c r="O17" i="4" s="1"/>
  <c r="P17" i="4" s="1"/>
  <c r="Q17" i="4" s="1"/>
  <c r="R17" i="4"/>
  <c r="C18" i="5" s="1"/>
  <c r="E18" i="5" s="1"/>
  <c r="G18" i="5" s="1"/>
  <c r="AC14" i="7"/>
  <c r="M28" i="8"/>
  <c r="L7" i="13"/>
  <c r="L8" i="9"/>
  <c r="L10" i="7"/>
  <c r="AA10" i="7"/>
  <c r="L16" i="6"/>
  <c r="B46" i="7"/>
  <c r="Q48" i="6"/>
  <c r="Q24" i="6"/>
  <c r="Q36" i="6"/>
  <c r="Q18" i="6"/>
  <c r="Q42" i="6"/>
  <c r="Q30" i="6"/>
  <c r="M7" i="13"/>
  <c r="N28" i="8"/>
  <c r="M8" i="9"/>
  <c r="M10" i="7"/>
  <c r="AB10" i="7"/>
  <c r="M16" i="6"/>
  <c r="G18" i="4"/>
  <c r="H18" i="4" s="1"/>
  <c r="I18" i="4" s="1"/>
  <c r="J18" i="4" s="1"/>
  <c r="K18" i="4" s="1"/>
  <c r="L18" i="4" s="1"/>
  <c r="M18" i="4" s="1"/>
  <c r="N18" i="4" s="1"/>
  <c r="O18" i="4" s="1"/>
  <c r="P18" i="4" s="1"/>
  <c r="Q18" i="4" s="1"/>
  <c r="R18" i="4"/>
  <c r="C19" i="5" s="1"/>
  <c r="E19" i="5" s="1"/>
  <c r="G19" i="5" s="1"/>
  <c r="E7" i="13"/>
  <c r="F28" i="8"/>
  <c r="E8" i="9"/>
  <c r="E10" i="7"/>
  <c r="T10" i="7"/>
  <c r="E16" i="6"/>
  <c r="G22" i="4"/>
  <c r="H22" i="4" s="1"/>
  <c r="I22" i="4" s="1"/>
  <c r="J22" i="4" s="1"/>
  <c r="K22" i="4" s="1"/>
  <c r="L22" i="4" s="1"/>
  <c r="M22" i="4" s="1"/>
  <c r="N22" i="4" s="1"/>
  <c r="O22" i="4" s="1"/>
  <c r="P22" i="4" s="1"/>
  <c r="Q22" i="4" s="1"/>
  <c r="R22" i="4"/>
  <c r="C23" i="5" s="1"/>
  <c r="E23" i="5" s="1"/>
  <c r="G23" i="5" s="1"/>
  <c r="D9" i="13"/>
  <c r="D53" i="6"/>
  <c r="L9" i="13"/>
  <c r="L53" i="6"/>
  <c r="M23" i="13"/>
  <c r="C19" i="13"/>
  <c r="C26" i="7"/>
  <c r="K19" i="13"/>
  <c r="K26" i="7"/>
  <c r="Z26" i="7" s="1"/>
  <c r="M12" i="13"/>
  <c r="M31" i="7"/>
  <c r="G32" i="7"/>
  <c r="V32" i="7" s="1"/>
  <c r="G20" i="13"/>
  <c r="E37" i="7"/>
  <c r="E45" i="6"/>
  <c r="E13" i="13"/>
  <c r="M13" i="13"/>
  <c r="M37" i="7"/>
  <c r="M45" i="6"/>
  <c r="G21" i="13"/>
  <c r="G38" i="7"/>
  <c r="V38" i="7" s="1"/>
  <c r="O44" i="6"/>
  <c r="B38" i="7" s="1"/>
  <c r="C20" i="14" s="1"/>
  <c r="C14" i="13"/>
  <c r="C43" i="7"/>
  <c r="C51" i="6"/>
  <c r="K14" i="13"/>
  <c r="K43" i="7"/>
  <c r="K51" i="6"/>
  <c r="D22" i="13"/>
  <c r="O22" i="13" s="1"/>
  <c r="D44" i="7"/>
  <c r="S44" i="7" s="1"/>
  <c r="L22" i="13"/>
  <c r="L44" i="7"/>
  <c r="AA44" i="7" s="1"/>
  <c r="I19" i="7"/>
  <c r="J20" i="7"/>
  <c r="Y20" i="7" s="1"/>
  <c r="W25" i="7"/>
  <c r="E30" i="14"/>
  <c r="G12" i="10"/>
  <c r="G30" i="14" s="1"/>
  <c r="I17" i="13"/>
  <c r="I23" i="13" s="1"/>
  <c r="M34" i="2"/>
  <c r="Q7" i="4" s="1"/>
  <c r="G8" i="4"/>
  <c r="E15" i="4"/>
  <c r="E19" i="4"/>
  <c r="F19" i="4" s="1"/>
  <c r="E9" i="13"/>
  <c r="E21" i="6"/>
  <c r="O21" i="6" s="1"/>
  <c r="I9" i="13"/>
  <c r="I21" i="6"/>
  <c r="M21" i="6"/>
  <c r="M9" i="13"/>
  <c r="M15" i="13" s="1"/>
  <c r="M24" i="13" s="1"/>
  <c r="F17" i="13"/>
  <c r="F54" i="6"/>
  <c r="J17" i="13"/>
  <c r="J54" i="6"/>
  <c r="J18" i="11" s="1"/>
  <c r="D21" i="6"/>
  <c r="O26" i="6"/>
  <c r="B20" i="7" s="1"/>
  <c r="C17" i="14" s="1"/>
  <c r="F27" i="6"/>
  <c r="F11" i="13"/>
  <c r="F25" i="7"/>
  <c r="J11" i="13"/>
  <c r="J25" i="7"/>
  <c r="D19" i="13"/>
  <c r="D26" i="7"/>
  <c r="S26" i="7" s="1"/>
  <c r="L19" i="13"/>
  <c r="L26" i="7"/>
  <c r="AA26" i="7" s="1"/>
  <c r="F33" i="6"/>
  <c r="F12" i="13"/>
  <c r="F31" i="7"/>
  <c r="F39" i="6"/>
  <c r="N12" i="13"/>
  <c r="N31" i="7"/>
  <c r="N39" i="6"/>
  <c r="H20" i="13"/>
  <c r="H32" i="7"/>
  <c r="W32" i="7" s="1"/>
  <c r="J37" i="7"/>
  <c r="J13" i="13"/>
  <c r="N13" i="13"/>
  <c r="N37" i="7"/>
  <c r="G45" i="6"/>
  <c r="D51" i="6"/>
  <c r="D43" i="7"/>
  <c r="L51" i="6"/>
  <c r="L14" i="13"/>
  <c r="L43" i="7"/>
  <c r="E22" i="13"/>
  <c r="E44" i="7"/>
  <c r="T44" i="7" s="1"/>
  <c r="AD44" i="7" s="1"/>
  <c r="G21" i="14" s="1"/>
  <c r="M22" i="13"/>
  <c r="M44" i="7"/>
  <c r="AB44" i="7" s="1"/>
  <c r="E51" i="6"/>
  <c r="D13" i="7"/>
  <c r="M14" i="7"/>
  <c r="AA19" i="7"/>
  <c r="L21" i="7"/>
  <c r="E13" i="10"/>
  <c r="C31" i="14"/>
  <c r="C39" i="14"/>
  <c r="E21" i="10"/>
  <c r="E26" i="14"/>
  <c r="G8" i="10"/>
  <c r="C29" i="14"/>
  <c r="E11" i="10"/>
  <c r="C133" i="20"/>
  <c r="D133" i="20" s="1"/>
  <c r="C138" i="20" s="1"/>
  <c r="D12" i="15"/>
  <c r="E12" i="15" s="1"/>
  <c r="F12" i="15" s="1"/>
  <c r="B34" i="2"/>
  <c r="F7" i="4" s="1"/>
  <c r="F34" i="2"/>
  <c r="J7" i="4" s="1"/>
  <c r="J34" i="2"/>
  <c r="N7" i="4" s="1"/>
  <c r="F9" i="4"/>
  <c r="E12" i="4"/>
  <c r="F9" i="13"/>
  <c r="F13" i="7"/>
  <c r="J47" i="7"/>
  <c r="N9" i="13"/>
  <c r="N13" i="7"/>
  <c r="C17" i="13"/>
  <c r="C54" i="6"/>
  <c r="C14" i="7"/>
  <c r="G17" i="13"/>
  <c r="G54" i="6"/>
  <c r="G14" i="7"/>
  <c r="K17" i="13"/>
  <c r="K54" i="6"/>
  <c r="K14" i="7"/>
  <c r="O20" i="6"/>
  <c r="B14" i="7" s="1"/>
  <c r="C16" i="14" s="1"/>
  <c r="F21" i="6"/>
  <c r="C10" i="13"/>
  <c r="C19" i="7"/>
  <c r="G10" i="13"/>
  <c r="G19" i="7"/>
  <c r="K10" i="13"/>
  <c r="K19" i="7"/>
  <c r="O25" i="6"/>
  <c r="D18" i="13"/>
  <c r="D20" i="7"/>
  <c r="S20" i="7" s="1"/>
  <c r="H18" i="13"/>
  <c r="H20" i="7"/>
  <c r="W20" i="7" s="1"/>
  <c r="L18" i="13"/>
  <c r="L20" i="7"/>
  <c r="AA20" i="7" s="1"/>
  <c r="G27" i="6"/>
  <c r="M27" i="6"/>
  <c r="B10" i="14"/>
  <c r="B19" i="13"/>
  <c r="B18" i="14"/>
  <c r="B11" i="13"/>
  <c r="A23" i="7"/>
  <c r="C11" i="13"/>
  <c r="C25" i="7"/>
  <c r="C33" i="6"/>
  <c r="G11" i="13"/>
  <c r="G25" i="7"/>
  <c r="G33" i="6"/>
  <c r="K11" i="13"/>
  <c r="K25" i="7"/>
  <c r="K33" i="6"/>
  <c r="O31" i="6"/>
  <c r="H33" i="6"/>
  <c r="M33" i="6"/>
  <c r="B19" i="14"/>
  <c r="B12" i="13"/>
  <c r="B11" i="14"/>
  <c r="A29" i="7"/>
  <c r="B20" i="13"/>
  <c r="C31" i="7"/>
  <c r="C12" i="13"/>
  <c r="G12" i="13"/>
  <c r="G31" i="7"/>
  <c r="K31" i="7"/>
  <c r="K12" i="13"/>
  <c r="O37" i="6"/>
  <c r="C39" i="6"/>
  <c r="H39" i="6"/>
  <c r="M39" i="6"/>
  <c r="E21" i="13"/>
  <c r="E38" i="7"/>
  <c r="T38" i="7" s="1"/>
  <c r="M21" i="13"/>
  <c r="M38" i="7"/>
  <c r="AB38" i="7" s="1"/>
  <c r="H45" i="6"/>
  <c r="N45" i="6"/>
  <c r="E14" i="13"/>
  <c r="E43" i="7"/>
  <c r="I14" i="13"/>
  <c r="I43" i="7"/>
  <c r="M14" i="13"/>
  <c r="M43" i="7"/>
  <c r="F44" i="7"/>
  <c r="U44" i="7" s="1"/>
  <c r="F22" i="13"/>
  <c r="J22" i="13"/>
  <c r="J44" i="7"/>
  <c r="Y44" i="7" s="1"/>
  <c r="N22" i="13"/>
  <c r="N44" i="7"/>
  <c r="AC44" i="7" s="1"/>
  <c r="F51" i="6"/>
  <c r="N51" i="6"/>
  <c r="F53" i="6"/>
  <c r="N53" i="6"/>
  <c r="I54" i="6"/>
  <c r="I18" i="11" s="1"/>
  <c r="E46" i="7"/>
  <c r="O46" i="7" s="1"/>
  <c r="T12" i="7"/>
  <c r="T46" i="7" s="1"/>
  <c r="I46" i="7"/>
  <c r="X12" i="7"/>
  <c r="X46" i="7" s="1"/>
  <c r="M46" i="7"/>
  <c r="AB12" i="7"/>
  <c r="AB46" i="7" s="1"/>
  <c r="E13" i="7"/>
  <c r="M13" i="7"/>
  <c r="F14" i="7"/>
  <c r="E19" i="7"/>
  <c r="M19" i="7"/>
  <c r="F20" i="7"/>
  <c r="U20" i="7" s="1"/>
  <c r="N20" i="7"/>
  <c r="AC20" i="7" s="1"/>
  <c r="D25" i="7"/>
  <c r="L25" i="7"/>
  <c r="E26" i="7"/>
  <c r="T26" i="7" s="1"/>
  <c r="T27" i="7" s="1"/>
  <c r="M26" i="7"/>
  <c r="AB26" i="7" s="1"/>
  <c r="AB27" i="7" s="1"/>
  <c r="I38" i="7"/>
  <c r="X38" i="7" s="1"/>
  <c r="D19" i="15"/>
  <c r="D24" i="15" s="1"/>
  <c r="F19" i="15"/>
  <c r="E19" i="15"/>
  <c r="E21" i="15"/>
  <c r="F21" i="15"/>
  <c r="D21" i="15"/>
  <c r="F23" i="15"/>
  <c r="E23" i="15"/>
  <c r="D23" i="15"/>
  <c r="C28" i="14"/>
  <c r="E10" i="10"/>
  <c r="C32" i="14"/>
  <c r="E14" i="10"/>
  <c r="C36" i="14"/>
  <c r="E18" i="10"/>
  <c r="C40" i="14"/>
  <c r="E22" i="10"/>
  <c r="F20" i="11"/>
  <c r="J20" i="11"/>
  <c r="N20" i="11"/>
  <c r="E38" i="14"/>
  <c r="G20" i="10"/>
  <c r="G38" i="14" s="1"/>
  <c r="J9" i="13"/>
  <c r="J15" i="13" s="1"/>
  <c r="D14" i="13"/>
  <c r="R10" i="4"/>
  <c r="C11" i="5" s="1"/>
  <c r="E11" i="5" s="1"/>
  <c r="G11" i="5" s="1"/>
  <c r="F16" i="4"/>
  <c r="H9" i="13"/>
  <c r="H53" i="6"/>
  <c r="E23" i="13"/>
  <c r="E27" i="6"/>
  <c r="J27" i="6"/>
  <c r="G19" i="13"/>
  <c r="G26" i="7"/>
  <c r="V26" i="7" s="1"/>
  <c r="O32" i="6"/>
  <c r="B26" i="7" s="1"/>
  <c r="C18" i="14" s="1"/>
  <c r="E12" i="13"/>
  <c r="E31" i="7"/>
  <c r="I12" i="13"/>
  <c r="I31" i="7"/>
  <c r="C20" i="13"/>
  <c r="C32" i="7"/>
  <c r="K20" i="13"/>
  <c r="K32" i="7"/>
  <c r="Z32" i="7" s="1"/>
  <c r="K39" i="6"/>
  <c r="I13" i="13"/>
  <c r="I45" i="6"/>
  <c r="I37" i="7"/>
  <c r="C21" i="13"/>
  <c r="C38" i="7"/>
  <c r="K21" i="13"/>
  <c r="K38" i="7"/>
  <c r="Z38" i="7" s="1"/>
  <c r="G43" i="7"/>
  <c r="G51" i="6"/>
  <c r="G14" i="13"/>
  <c r="O49" i="6"/>
  <c r="H22" i="13"/>
  <c r="H44" i="7"/>
  <c r="W44" i="7" s="1"/>
  <c r="J56" i="13"/>
  <c r="J36" i="9" s="1"/>
  <c r="J55" i="6"/>
  <c r="J10" i="11"/>
  <c r="E54" i="6"/>
  <c r="M54" i="6"/>
  <c r="M18" i="11" s="1"/>
  <c r="I15" i="7"/>
  <c r="J15" i="7"/>
  <c r="C33" i="14"/>
  <c r="E15" i="10"/>
  <c r="E34" i="2"/>
  <c r="I7" i="4" s="1"/>
  <c r="I34" i="2"/>
  <c r="M7" i="4" s="1"/>
  <c r="N17" i="13"/>
  <c r="N54" i="6"/>
  <c r="J21" i="6"/>
  <c r="N27" i="7"/>
  <c r="AC25" i="7"/>
  <c r="AC27" i="7" s="1"/>
  <c r="H19" i="13"/>
  <c r="H23" i="13" s="1"/>
  <c r="H26" i="7"/>
  <c r="W26" i="7" s="1"/>
  <c r="L33" i="6"/>
  <c r="J12" i="13"/>
  <c r="J31" i="7"/>
  <c r="J39" i="6"/>
  <c r="D20" i="13"/>
  <c r="D32" i="7"/>
  <c r="S32" i="7" s="1"/>
  <c r="L20" i="13"/>
  <c r="L32" i="7"/>
  <c r="AA32" i="7" s="1"/>
  <c r="G39" i="6"/>
  <c r="F13" i="13"/>
  <c r="F37" i="7"/>
  <c r="B14" i="13"/>
  <c r="B22" i="13"/>
  <c r="A41" i="7"/>
  <c r="B21" i="14"/>
  <c r="B13" i="14"/>
  <c r="H14" i="13"/>
  <c r="H51" i="6"/>
  <c r="M51" i="6"/>
  <c r="E53" i="6"/>
  <c r="M53" i="6"/>
  <c r="L13" i="7"/>
  <c r="E14" i="7"/>
  <c r="S19" i="7"/>
  <c r="S21" i="7" s="1"/>
  <c r="D21" i="7"/>
  <c r="W37" i="7"/>
  <c r="I47" i="7"/>
  <c r="C27" i="14"/>
  <c r="E9" i="10"/>
  <c r="C19" i="12" s="1"/>
  <c r="C35" i="14"/>
  <c r="E17" i="10"/>
  <c r="C34" i="2"/>
  <c r="G7" i="4" s="1"/>
  <c r="G34" i="2"/>
  <c r="K7" i="4" s="1"/>
  <c r="E16" i="4"/>
  <c r="E20" i="4"/>
  <c r="F20" i="4" s="1"/>
  <c r="B16" i="14"/>
  <c r="B17" i="13"/>
  <c r="B8" i="14"/>
  <c r="A11" i="7"/>
  <c r="B9" i="13"/>
  <c r="C9" i="13"/>
  <c r="C13" i="7"/>
  <c r="C53" i="6"/>
  <c r="G9" i="13"/>
  <c r="G13" i="7"/>
  <c r="G53" i="6"/>
  <c r="K9" i="13"/>
  <c r="K15" i="13" s="1"/>
  <c r="K13" i="7"/>
  <c r="K53" i="6"/>
  <c r="O19" i="6"/>
  <c r="D17" i="13"/>
  <c r="D23" i="13" s="1"/>
  <c r="D14" i="7"/>
  <c r="AA14" i="7"/>
  <c r="G21" i="6"/>
  <c r="L21" i="6"/>
  <c r="B17" i="14"/>
  <c r="B10" i="13"/>
  <c r="B9" i="14"/>
  <c r="B18" i="13"/>
  <c r="A17" i="7"/>
  <c r="D27" i="6"/>
  <c r="D10" i="13"/>
  <c r="H10" i="13"/>
  <c r="H27" i="6"/>
  <c r="C27" i="6"/>
  <c r="I27" i="6"/>
  <c r="N27" i="6"/>
  <c r="D33" i="6"/>
  <c r="N33" i="6"/>
  <c r="F20" i="13"/>
  <c r="F32" i="7"/>
  <c r="U32" i="7" s="1"/>
  <c r="J20" i="13"/>
  <c r="J32" i="7"/>
  <c r="Y32" i="7" s="1"/>
  <c r="N20" i="13"/>
  <c r="N32" i="7"/>
  <c r="AC32" i="7" s="1"/>
  <c r="D39" i="6"/>
  <c r="I39" i="6"/>
  <c r="D13" i="13"/>
  <c r="D37" i="7"/>
  <c r="L13" i="13"/>
  <c r="L37" i="7"/>
  <c r="F21" i="13"/>
  <c r="F38" i="7"/>
  <c r="U38" i="7" s="1"/>
  <c r="J21" i="13"/>
  <c r="J38" i="7"/>
  <c r="Y38" i="7" s="1"/>
  <c r="N21" i="13"/>
  <c r="N38" i="7"/>
  <c r="AC38" i="7" s="1"/>
  <c r="D45" i="6"/>
  <c r="O45" i="6" s="1"/>
  <c r="B39" i="7" s="1"/>
  <c r="J45" i="6"/>
  <c r="I51" i="6"/>
  <c r="I53" i="6"/>
  <c r="K11" i="11" s="1"/>
  <c r="D54" i="6"/>
  <c r="L54" i="6"/>
  <c r="F46" i="7"/>
  <c r="U12" i="7"/>
  <c r="U46" i="7" s="1"/>
  <c r="J46" i="7"/>
  <c r="Y12" i="7"/>
  <c r="Y46" i="7" s="1"/>
  <c r="N46" i="7"/>
  <c r="AC12" i="7"/>
  <c r="AC46" i="7" s="1"/>
  <c r="H13" i="7"/>
  <c r="X13" i="7"/>
  <c r="Y14" i="7"/>
  <c r="H19" i="7"/>
  <c r="I20" i="7"/>
  <c r="X20" i="7" s="1"/>
  <c r="X27" i="7"/>
  <c r="W31" i="7"/>
  <c r="H43" i="7"/>
  <c r="G16" i="10"/>
  <c r="G34" i="14" s="1"/>
  <c r="E34" i="14"/>
  <c r="C37" i="14"/>
  <c r="E19" i="10"/>
  <c r="L10" i="13"/>
  <c r="I27" i="7"/>
  <c r="M27" i="7"/>
  <c r="O30" i="7"/>
  <c r="O36" i="7"/>
  <c r="O42" i="7"/>
  <c r="O16" i="11"/>
  <c r="B15" i="12" s="1"/>
  <c r="X15" i="12"/>
  <c r="T15" i="12"/>
  <c r="P15" i="12"/>
  <c r="AA15" i="12"/>
  <c r="W15" i="12"/>
  <c r="S15" i="12"/>
  <c r="U15" i="12"/>
  <c r="Z15" i="12"/>
  <c r="R15" i="12"/>
  <c r="V15" i="12"/>
  <c r="L17" i="13"/>
  <c r="D21" i="13"/>
  <c r="G44" i="13"/>
  <c r="D117" i="20"/>
  <c r="D119" i="20" s="1"/>
  <c r="C28" i="9"/>
  <c r="O12" i="7"/>
  <c r="F19" i="7"/>
  <c r="J19" i="7"/>
  <c r="N19" i="7"/>
  <c r="C20" i="7"/>
  <c r="G20" i="7"/>
  <c r="V20" i="7" s="1"/>
  <c r="D31" i="7"/>
  <c r="L31" i="7"/>
  <c r="E32" i="7"/>
  <c r="T32" i="7" s="1"/>
  <c r="M32" i="7"/>
  <c r="AB32" i="7" s="1"/>
  <c r="P35" i="8"/>
  <c r="Y15" i="12"/>
  <c r="C18" i="13"/>
  <c r="O18" i="13" s="1"/>
  <c r="K22" i="13"/>
  <c r="D44" i="13"/>
  <c r="O44" i="13" s="1"/>
  <c r="H44" i="13"/>
  <c r="L44" i="13"/>
  <c r="K44" i="13"/>
  <c r="O28" i="13"/>
  <c r="O34" i="13"/>
  <c r="C48" i="13"/>
  <c r="B20" i="14"/>
  <c r="B21" i="13"/>
  <c r="B12" i="14"/>
  <c r="A35" i="7"/>
  <c r="C13" i="13"/>
  <c r="C37" i="7"/>
  <c r="G13" i="13"/>
  <c r="G37" i="7"/>
  <c r="K13" i="13"/>
  <c r="K37" i="7"/>
  <c r="O43" i="6"/>
  <c r="H21" i="13"/>
  <c r="H38" i="7"/>
  <c r="W38" i="7" s="1"/>
  <c r="F14" i="13"/>
  <c r="F43" i="7"/>
  <c r="J14" i="13"/>
  <c r="J43" i="7"/>
  <c r="N14" i="13"/>
  <c r="N43" i="7"/>
  <c r="G22" i="13"/>
  <c r="G44" i="7"/>
  <c r="V44" i="7" s="1"/>
  <c r="O50" i="6"/>
  <c r="B44" i="7" s="1"/>
  <c r="C21" i="14" s="1"/>
  <c r="H14" i="7"/>
  <c r="E20" i="11"/>
  <c r="O20" i="11" s="1"/>
  <c r="B19" i="12" s="1"/>
  <c r="I20" i="11"/>
  <c r="M20" i="11"/>
  <c r="C26" i="14"/>
  <c r="C23" i="10"/>
  <c r="L21" i="13"/>
  <c r="O35" i="13"/>
  <c r="O25" i="9"/>
  <c r="E44" i="13"/>
  <c r="I44" i="13"/>
  <c r="M44" i="13"/>
  <c r="O31" i="13"/>
  <c r="O39" i="13"/>
  <c r="F18" i="15"/>
  <c r="F24" i="15" s="1"/>
  <c r="E18" i="15"/>
  <c r="D20" i="15"/>
  <c r="F20" i="15"/>
  <c r="F22" i="15"/>
  <c r="E22" i="15"/>
  <c r="D22" i="15"/>
  <c r="L15" i="12"/>
  <c r="H15" i="12"/>
  <c r="D15" i="12"/>
  <c r="K15" i="12"/>
  <c r="G15" i="12"/>
  <c r="C15" i="12"/>
  <c r="C27" i="17"/>
  <c r="E11" i="15"/>
  <c r="E15" i="12"/>
  <c r="M15" i="12"/>
  <c r="O29" i="13"/>
  <c r="O37" i="13"/>
  <c r="D41" i="15"/>
  <c r="E41" i="15" s="1"/>
  <c r="F41" i="15" s="1"/>
  <c r="I84" i="20"/>
  <c r="D80" i="20"/>
  <c r="L75" i="20"/>
  <c r="L83" i="20"/>
  <c r="H79" i="20"/>
  <c r="K76" i="20"/>
  <c r="C75" i="20"/>
  <c r="F79" i="20"/>
  <c r="K83" i="20"/>
  <c r="N96" i="20"/>
  <c r="J96" i="20"/>
  <c r="F96" i="20"/>
  <c r="K95" i="20"/>
  <c r="G95" i="20"/>
  <c r="C95" i="20"/>
  <c r="M96" i="20"/>
  <c r="I96" i="20"/>
  <c r="E96" i="20"/>
  <c r="N95" i="20"/>
  <c r="J95" i="20"/>
  <c r="K96" i="20"/>
  <c r="C96" i="20"/>
  <c r="H95" i="20"/>
  <c r="H96" i="20"/>
  <c r="M95" i="20"/>
  <c r="F95" i="20"/>
  <c r="C92" i="20"/>
  <c r="D96" i="20"/>
  <c r="D95" i="20"/>
  <c r="L95" i="20"/>
  <c r="J103" i="20"/>
  <c r="L96" i="20"/>
  <c r="G96" i="20"/>
  <c r="M24" i="20"/>
  <c r="G24" i="20"/>
  <c r="J23" i="20"/>
  <c r="D23" i="20"/>
  <c r="M20" i="20"/>
  <c r="H20" i="20"/>
  <c r="C20" i="20"/>
  <c r="J19" i="20"/>
  <c r="E19" i="20"/>
  <c r="N16" i="20"/>
  <c r="I16" i="20"/>
  <c r="C16" i="20"/>
  <c r="K15" i="20"/>
  <c r="F15" i="20"/>
  <c r="C12" i="20"/>
  <c r="K24" i="20"/>
  <c r="F24" i="20"/>
  <c r="N23" i="20"/>
  <c r="H23" i="20"/>
  <c r="C23" i="20"/>
  <c r="L20" i="20"/>
  <c r="G20" i="20"/>
  <c r="N19" i="20"/>
  <c r="I19" i="20"/>
  <c r="D19" i="20"/>
  <c r="M16" i="20"/>
  <c r="G16" i="20"/>
  <c r="J15" i="20"/>
  <c r="D15" i="20"/>
  <c r="J24" i="20"/>
  <c r="L23" i="20"/>
  <c r="E20" i="20"/>
  <c r="H19" i="20"/>
  <c r="K16" i="20"/>
  <c r="N15" i="20"/>
  <c r="C15" i="20"/>
  <c r="L15" i="20"/>
  <c r="D20" i="20"/>
  <c r="G23" i="20"/>
  <c r="I24" i="20"/>
  <c r="N44" i="20"/>
  <c r="J44" i="20"/>
  <c r="F44" i="20"/>
  <c r="K43" i="20"/>
  <c r="G43" i="20"/>
  <c r="C43" i="20"/>
  <c r="L40" i="20"/>
  <c r="H40" i="20"/>
  <c r="D40" i="20"/>
  <c r="M39" i="20"/>
  <c r="I39" i="20"/>
  <c r="E39" i="20"/>
  <c r="M44" i="20"/>
  <c r="I44" i="20"/>
  <c r="E44" i="20"/>
  <c r="N43" i="20"/>
  <c r="J43" i="20"/>
  <c r="F43" i="20"/>
  <c r="K40" i="20"/>
  <c r="G40" i="20"/>
  <c r="C40" i="20"/>
  <c r="L39" i="20"/>
  <c r="H39" i="20"/>
  <c r="D39" i="20"/>
  <c r="G44" i="20"/>
  <c r="O44" i="20" s="1"/>
  <c r="L43" i="20"/>
  <c r="D43" i="20"/>
  <c r="M40" i="20"/>
  <c r="E40" i="20"/>
  <c r="J39" i="20"/>
  <c r="O39" i="20" s="1"/>
  <c r="E29" i="10" s="1"/>
  <c r="E50" i="14" s="1"/>
  <c r="L44" i="20"/>
  <c r="D44" i="20"/>
  <c r="I43" i="20"/>
  <c r="J40" i="20"/>
  <c r="G39" i="20"/>
  <c r="H44" i="20"/>
  <c r="E43" i="20"/>
  <c r="N40" i="20"/>
  <c r="K39" i="20"/>
  <c r="D35" i="20"/>
  <c r="C36" i="20"/>
  <c r="F40" i="20"/>
  <c r="K44" i="20"/>
  <c r="N75" i="20"/>
  <c r="E80" i="20"/>
  <c r="J84" i="20"/>
  <c r="C99" i="20"/>
  <c r="C17" i="20"/>
  <c r="N36" i="20"/>
  <c r="J36" i="20"/>
  <c r="F36" i="20"/>
  <c r="K35" i="20"/>
  <c r="G35" i="20"/>
  <c r="C35" i="20"/>
  <c r="M36" i="20"/>
  <c r="K36" i="20"/>
  <c r="E36" i="20"/>
  <c r="M35" i="20"/>
  <c r="H35" i="20"/>
  <c r="I36" i="20"/>
  <c r="D36" i="20"/>
  <c r="L35" i="20"/>
  <c r="F35" i="20"/>
  <c r="C32" i="20"/>
  <c r="I35" i="20"/>
  <c r="G36" i="20"/>
  <c r="L24" i="20"/>
  <c r="L55" i="20"/>
  <c r="I56" i="20"/>
  <c r="F59" i="20"/>
  <c r="C60" i="20"/>
  <c r="N60" i="20"/>
  <c r="J63" i="20"/>
  <c r="H64" i="20"/>
  <c r="L76" i="20"/>
  <c r="H76" i="20"/>
  <c r="D76" i="20"/>
  <c r="M75" i="20"/>
  <c r="I75" i="20"/>
  <c r="E75" i="20"/>
  <c r="M84" i="20"/>
  <c r="G84" i="20"/>
  <c r="J83" i="20"/>
  <c r="D83" i="20"/>
  <c r="M80" i="20"/>
  <c r="H80" i="20"/>
  <c r="C80" i="20"/>
  <c r="J79" i="20"/>
  <c r="E79" i="20"/>
  <c r="N76" i="20"/>
  <c r="I76" i="20"/>
  <c r="C76" i="20"/>
  <c r="O76" i="20" s="1"/>
  <c r="K75" i="20"/>
  <c r="F75" i="20"/>
  <c r="C72" i="20"/>
  <c r="K84" i="20"/>
  <c r="F84" i="20"/>
  <c r="N83" i="20"/>
  <c r="H83" i="20"/>
  <c r="C83" i="20"/>
  <c r="O83" i="20" s="1"/>
  <c r="G31" i="10" s="1"/>
  <c r="G52" i="14" s="1"/>
  <c r="L80" i="20"/>
  <c r="G80" i="20"/>
  <c r="N79" i="20"/>
  <c r="I79" i="20"/>
  <c r="D79" i="20"/>
  <c r="M76" i="20"/>
  <c r="G76" i="20"/>
  <c r="J75" i="20"/>
  <c r="D75" i="20"/>
  <c r="G75" i="20"/>
  <c r="E76" i="20"/>
  <c r="L79" i="20"/>
  <c r="I80" i="20"/>
  <c r="F83" i="20"/>
  <c r="C84" i="20"/>
  <c r="N84" i="20"/>
  <c r="L104" i="20"/>
  <c r="H104" i="20"/>
  <c r="D104" i="20"/>
  <c r="M103" i="20"/>
  <c r="I103" i="20"/>
  <c r="E103" i="20"/>
  <c r="N100" i="20"/>
  <c r="J100" i="20"/>
  <c r="F100" i="20"/>
  <c r="K99" i="20"/>
  <c r="G99" i="20"/>
  <c r="K104" i="20"/>
  <c r="G104" i="20"/>
  <c r="C104" i="20"/>
  <c r="L103" i="20"/>
  <c r="H103" i="20"/>
  <c r="D103" i="20"/>
  <c r="M100" i="20"/>
  <c r="I100" i="20"/>
  <c r="E100" i="20"/>
  <c r="N104" i="20"/>
  <c r="J104" i="20"/>
  <c r="F104" i="20"/>
  <c r="K103" i="20"/>
  <c r="G103" i="20"/>
  <c r="C103" i="20"/>
  <c r="L100" i="20"/>
  <c r="H100" i="20"/>
  <c r="D100" i="20"/>
  <c r="M99" i="20"/>
  <c r="I99" i="20"/>
  <c r="E104" i="20"/>
  <c r="K100" i="20"/>
  <c r="L99" i="20"/>
  <c r="E99" i="20"/>
  <c r="N103" i="20"/>
  <c r="G100" i="20"/>
  <c r="J99" i="20"/>
  <c r="D99" i="20"/>
  <c r="F103" i="20"/>
  <c r="N99" i="20"/>
  <c r="M104" i="20"/>
  <c r="H99" i="20"/>
  <c r="F99" i="20"/>
  <c r="I104" i="20"/>
  <c r="E55" i="20"/>
  <c r="C56" i="20"/>
  <c r="M56" i="20"/>
  <c r="J59" i="20"/>
  <c r="G60" i="20"/>
  <c r="D63" i="20"/>
  <c r="N63" i="20"/>
  <c r="L64" i="20"/>
  <c r="H75" i="20"/>
  <c r="F76" i="20"/>
  <c r="M79" i="20"/>
  <c r="K80" i="20"/>
  <c r="G83" i="20"/>
  <c r="E84" i="20"/>
  <c r="C100" i="20"/>
  <c r="O100" i="20" s="1"/>
  <c r="N56" i="20"/>
  <c r="J56" i="20"/>
  <c r="F56" i="20"/>
  <c r="K55" i="20"/>
  <c r="G55" i="20"/>
  <c r="C55" i="20"/>
  <c r="H55" i="20"/>
  <c r="M55" i="20"/>
  <c r="E56" i="20"/>
  <c r="K56" i="20"/>
  <c r="G59" i="20"/>
  <c r="L59" i="20"/>
  <c r="E60" i="20"/>
  <c r="J60" i="20"/>
  <c r="F63" i="20"/>
  <c r="L63" i="20"/>
  <c r="D64" i="20"/>
  <c r="O64" i="20" s="1"/>
  <c r="I64" i="20"/>
  <c r="L84" i="20"/>
  <c r="E15" i="20"/>
  <c r="I15" i="20"/>
  <c r="M15" i="20"/>
  <c r="D16" i="20"/>
  <c r="H16" i="20"/>
  <c r="H24" i="11" s="1"/>
  <c r="L16" i="20"/>
  <c r="C19" i="20"/>
  <c r="G19" i="20"/>
  <c r="K19" i="20"/>
  <c r="K23" i="12" s="1"/>
  <c r="F20" i="20"/>
  <c r="F23" i="12" s="1"/>
  <c r="J20" i="20"/>
  <c r="N20" i="20"/>
  <c r="E23" i="20"/>
  <c r="R23" i="12" s="1"/>
  <c r="I23" i="20"/>
  <c r="M23" i="20"/>
  <c r="D24" i="20"/>
  <c r="O24" i="20" s="1"/>
  <c r="H24" i="20"/>
  <c r="N64" i="20"/>
  <c r="J64" i="20"/>
  <c r="F64" i="20"/>
  <c r="K63" i="20"/>
  <c r="X23" i="12" s="1"/>
  <c r="G63" i="20"/>
  <c r="C63" i="20"/>
  <c r="L60" i="20"/>
  <c r="H60" i="20"/>
  <c r="D60" i="20"/>
  <c r="M59" i="20"/>
  <c r="I59" i="20"/>
  <c r="E59" i="20"/>
  <c r="D55" i="20"/>
  <c r="I55" i="20"/>
  <c r="N55" i="20"/>
  <c r="G56" i="20"/>
  <c r="L56" i="20"/>
  <c r="C59" i="20"/>
  <c r="H59" i="20"/>
  <c r="N59" i="20"/>
  <c r="F60" i="20"/>
  <c r="K60" i="20"/>
  <c r="H63" i="20"/>
  <c r="M63" i="20"/>
  <c r="E64" i="20"/>
  <c r="K64" i="20"/>
  <c r="C79" i="20"/>
  <c r="G79" i="20"/>
  <c r="K79" i="20"/>
  <c r="F80" i="20"/>
  <c r="J80" i="20"/>
  <c r="N80" i="20"/>
  <c r="E83" i="20"/>
  <c r="I83" i="20"/>
  <c r="M83" i="20"/>
  <c r="D84" i="20"/>
  <c r="H84" i="20"/>
  <c r="C150" i="20"/>
  <c r="D149" i="20" s="1"/>
  <c r="D150" i="20" s="1"/>
  <c r="E149" i="20" s="1"/>
  <c r="E150" i="20" s="1"/>
  <c r="F149" i="20" s="1"/>
  <c r="F150" i="20" s="1"/>
  <c r="G149" i="20" s="1"/>
  <c r="G150" i="20" s="1"/>
  <c r="H149" i="20" s="1"/>
  <c r="H150" i="20" s="1"/>
  <c r="I149" i="20" s="1"/>
  <c r="I150" i="20" s="1"/>
  <c r="J149" i="20" s="1"/>
  <c r="J150" i="20" s="1"/>
  <c r="K149" i="20" s="1"/>
  <c r="K150" i="20" s="1"/>
  <c r="L149" i="20" s="1"/>
  <c r="L150" i="20" s="1"/>
  <c r="M149" i="20" s="1"/>
  <c r="M150" i="20" s="1"/>
  <c r="N149" i="20" s="1"/>
  <c r="N150" i="20" s="1"/>
  <c r="C152" i="20" s="1"/>
  <c r="O149" i="20"/>
  <c r="B15" i="7" l="1"/>
  <c r="E50" i="13"/>
  <c r="E24" i="11"/>
  <c r="E30" i="9"/>
  <c r="O43" i="20"/>
  <c r="G29" i="10" s="1"/>
  <c r="G50" i="14" s="1"/>
  <c r="F24" i="11"/>
  <c r="F50" i="13"/>
  <c r="F30" i="9"/>
  <c r="O37" i="7"/>
  <c r="R37" i="7"/>
  <c r="C39" i="7"/>
  <c r="O20" i="7"/>
  <c r="E17" i="14" s="1"/>
  <c r="R20" i="7"/>
  <c r="AD20" i="7" s="1"/>
  <c r="G17" i="14" s="1"/>
  <c r="P27" i="6"/>
  <c r="B19" i="7"/>
  <c r="C9" i="14" s="1"/>
  <c r="P26" i="6"/>
  <c r="P25" i="6" s="1"/>
  <c r="G48" i="7"/>
  <c r="V14" i="7"/>
  <c r="V48" i="7" s="1"/>
  <c r="C8" i="9"/>
  <c r="D28" i="8"/>
  <c r="R10" i="7"/>
  <c r="C10" i="7"/>
  <c r="C7" i="13"/>
  <c r="C16" i="6"/>
  <c r="E39" i="14"/>
  <c r="G21" i="10"/>
  <c r="G39" i="14" s="1"/>
  <c r="H8" i="4"/>
  <c r="H27" i="7"/>
  <c r="AC48" i="7"/>
  <c r="N52" i="13"/>
  <c r="N32" i="9"/>
  <c r="H52" i="13"/>
  <c r="H32" i="9"/>
  <c r="O56" i="20"/>
  <c r="O84" i="20"/>
  <c r="O60" i="20"/>
  <c r="C57" i="20"/>
  <c r="D57" i="20" s="1"/>
  <c r="E57" i="20" s="1"/>
  <c r="F57" i="20" s="1"/>
  <c r="G57" i="20" s="1"/>
  <c r="H57" i="20" s="1"/>
  <c r="I57" i="20" s="1"/>
  <c r="J57" i="20" s="1"/>
  <c r="K57" i="20" s="1"/>
  <c r="L57" i="20" s="1"/>
  <c r="M57" i="20" s="1"/>
  <c r="N57" i="20" s="1"/>
  <c r="G31" i="9"/>
  <c r="G51" i="13"/>
  <c r="O40" i="20"/>
  <c r="H23" i="12"/>
  <c r="L23" i="12"/>
  <c r="E23" i="12"/>
  <c r="O75" i="20"/>
  <c r="C33" i="9"/>
  <c r="C53" i="13"/>
  <c r="J45" i="7"/>
  <c r="Y43" i="7"/>
  <c r="Y45" i="7" s="1"/>
  <c r="AA31" i="7"/>
  <c r="AA33" i="7" s="1"/>
  <c r="L33" i="7"/>
  <c r="H47" i="7"/>
  <c r="W13" i="7"/>
  <c r="H15" i="7"/>
  <c r="P20" i="6"/>
  <c r="B13" i="7"/>
  <c r="C8" i="14" s="1"/>
  <c r="C14" i="14" s="1"/>
  <c r="P21" i="6"/>
  <c r="N18" i="11"/>
  <c r="E18" i="11"/>
  <c r="Z31" i="7"/>
  <c r="Z33" i="7" s="1"/>
  <c r="K33" i="7"/>
  <c r="O31" i="7"/>
  <c r="R31" i="7"/>
  <c r="C33" i="7"/>
  <c r="B25" i="7"/>
  <c r="C10" i="14" s="1"/>
  <c r="P32" i="6"/>
  <c r="P33" i="6"/>
  <c r="O25" i="7"/>
  <c r="R25" i="7"/>
  <c r="C27" i="7"/>
  <c r="Z19" i="7"/>
  <c r="Z21" i="7" s="1"/>
  <c r="K21" i="7"/>
  <c r="O19" i="7"/>
  <c r="R19" i="7"/>
  <c r="C21" i="7"/>
  <c r="K48" i="7"/>
  <c r="Z14" i="7"/>
  <c r="Z48" i="7" s="1"/>
  <c r="G18" i="11"/>
  <c r="O17" i="13"/>
  <c r="C23" i="13"/>
  <c r="F47" i="7"/>
  <c r="F15" i="7"/>
  <c r="U13" i="7"/>
  <c r="G9" i="4"/>
  <c r="H9" i="4" s="1"/>
  <c r="I9" i="4" s="1"/>
  <c r="J9" i="4" s="1"/>
  <c r="K9" i="4" s="1"/>
  <c r="L9" i="4" s="1"/>
  <c r="M9" i="4" s="1"/>
  <c r="N9" i="4" s="1"/>
  <c r="O9" i="4" s="1"/>
  <c r="P9" i="4" s="1"/>
  <c r="Q9" i="4" s="1"/>
  <c r="M19" i="12"/>
  <c r="I19" i="12"/>
  <c r="S43" i="7"/>
  <c r="S45" i="7" s="1"/>
  <c r="D45" i="7"/>
  <c r="J27" i="7"/>
  <c r="Y25" i="7"/>
  <c r="Y27" i="7" s="1"/>
  <c r="J23" i="13"/>
  <c r="J24" i="13" s="1"/>
  <c r="E15" i="13"/>
  <c r="E24" i="13" s="1"/>
  <c r="N7" i="13"/>
  <c r="N8" i="9"/>
  <c r="AC10" i="7"/>
  <c r="N10" i="7"/>
  <c r="O28" i="8"/>
  <c r="N16" i="6"/>
  <c r="O43" i="7"/>
  <c r="R43" i="7"/>
  <c r="C45" i="7"/>
  <c r="M11" i="11"/>
  <c r="L10" i="11"/>
  <c r="L56" i="13"/>
  <c r="L36" i="9" s="1"/>
  <c r="L55" i="6"/>
  <c r="F12" i="4"/>
  <c r="N48" i="7"/>
  <c r="N17" i="12" s="1"/>
  <c r="X48" i="7"/>
  <c r="M52" i="13"/>
  <c r="M32" i="9"/>
  <c r="K52" i="13"/>
  <c r="K32" i="9"/>
  <c r="J53" i="13"/>
  <c r="J33" i="9"/>
  <c r="E53" i="13"/>
  <c r="E33" i="9"/>
  <c r="L32" i="9"/>
  <c r="L52" i="13"/>
  <c r="L51" i="13"/>
  <c r="L31" i="9"/>
  <c r="M31" i="9"/>
  <c r="M51" i="13"/>
  <c r="O35" i="20"/>
  <c r="C31" i="9"/>
  <c r="C51" i="13"/>
  <c r="AA23" i="12"/>
  <c r="J54" i="13"/>
  <c r="J34" i="9"/>
  <c r="C77" i="20"/>
  <c r="D77" i="20" s="1"/>
  <c r="E77" i="20" s="1"/>
  <c r="F77" i="20" s="1"/>
  <c r="G77" i="20" s="1"/>
  <c r="H77" i="20" s="1"/>
  <c r="I77" i="20" s="1"/>
  <c r="J77" i="20" s="1"/>
  <c r="K77" i="20" s="1"/>
  <c r="L77" i="20" s="1"/>
  <c r="M77" i="20" s="1"/>
  <c r="N77" i="20" s="1"/>
  <c r="O15" i="12"/>
  <c r="Z37" i="7"/>
  <c r="Z39" i="7" s="1"/>
  <c r="K39" i="7"/>
  <c r="E37" i="14"/>
  <c r="G19" i="10"/>
  <c r="G37" i="14" s="1"/>
  <c r="X47" i="7"/>
  <c r="X15" i="7"/>
  <c r="C56" i="13"/>
  <c r="D11" i="11"/>
  <c r="C10" i="11"/>
  <c r="O53" i="6"/>
  <c r="C55" i="6"/>
  <c r="R20" i="4"/>
  <c r="C21" i="5" s="1"/>
  <c r="E21" i="5" s="1"/>
  <c r="G21" i="5" s="1"/>
  <c r="G20" i="4"/>
  <c r="H20" i="4" s="1"/>
  <c r="I20" i="4" s="1"/>
  <c r="J20" i="4" s="1"/>
  <c r="K20" i="4" s="1"/>
  <c r="L20" i="4" s="1"/>
  <c r="M20" i="4" s="1"/>
  <c r="N20" i="4" s="1"/>
  <c r="O20" i="4" s="1"/>
  <c r="P20" i="4" s="1"/>
  <c r="Q20" i="4" s="1"/>
  <c r="E35" i="14"/>
  <c r="G17" i="10"/>
  <c r="G35" i="14" s="1"/>
  <c r="I9" i="12"/>
  <c r="K10" i="12"/>
  <c r="I49" i="7"/>
  <c r="E56" i="13"/>
  <c r="E36" i="9" s="1"/>
  <c r="E10" i="11"/>
  <c r="E12" i="11" s="1"/>
  <c r="F11" i="11"/>
  <c r="E55" i="6"/>
  <c r="F7" i="13"/>
  <c r="F8" i="9"/>
  <c r="U10" i="7"/>
  <c r="F10" i="7"/>
  <c r="G28" i="8"/>
  <c r="F16" i="6"/>
  <c r="B43" i="7"/>
  <c r="C13" i="14" s="1"/>
  <c r="P51" i="6"/>
  <c r="P50" i="6"/>
  <c r="P49" i="6" s="1"/>
  <c r="I39" i="7"/>
  <c r="X37" i="7"/>
  <c r="X39" i="7" s="1"/>
  <c r="I33" i="7"/>
  <c r="X31" i="7"/>
  <c r="X33" i="7" s="1"/>
  <c r="E36" i="14"/>
  <c r="G18" i="10"/>
  <c r="G36" i="14" s="1"/>
  <c r="E28" i="14"/>
  <c r="G10" i="10"/>
  <c r="G28" i="14" s="1"/>
  <c r="U14" i="7"/>
  <c r="U48" i="7" s="1"/>
  <c r="F48" i="7"/>
  <c r="M45" i="7"/>
  <c r="AB43" i="7"/>
  <c r="AB45" i="7" s="1"/>
  <c r="E45" i="7"/>
  <c r="T43" i="7"/>
  <c r="T45" i="7" s="1"/>
  <c r="O12" i="13"/>
  <c r="O33" i="6"/>
  <c r="B27" i="7" s="1"/>
  <c r="C22" i="14"/>
  <c r="C26" i="17" s="1"/>
  <c r="C18" i="11"/>
  <c r="O54" i="6"/>
  <c r="J9" i="12"/>
  <c r="L10" i="12"/>
  <c r="E25" i="4"/>
  <c r="E29" i="14"/>
  <c r="G11" i="10"/>
  <c r="G29" i="14" s="1"/>
  <c r="E23" i="10"/>
  <c r="N19" i="12"/>
  <c r="S13" i="7"/>
  <c r="D15" i="7"/>
  <c r="D47" i="7"/>
  <c r="N39" i="7"/>
  <c r="AC37" i="7"/>
  <c r="AC39" i="7" s="1"/>
  <c r="O51" i="6"/>
  <c r="B45" i="7" s="1"/>
  <c r="D15" i="13"/>
  <c r="D24" i="13" s="1"/>
  <c r="O79" i="20"/>
  <c r="E31" i="10" s="1"/>
  <c r="E52" i="14" s="1"/>
  <c r="G23" i="12"/>
  <c r="O80" i="20"/>
  <c r="I53" i="13"/>
  <c r="I33" i="9"/>
  <c r="I51" i="13"/>
  <c r="I31" i="9"/>
  <c r="C37" i="20"/>
  <c r="D37" i="20" s="1"/>
  <c r="E37" i="20" s="1"/>
  <c r="F37" i="20" s="1"/>
  <c r="G37" i="20" s="1"/>
  <c r="H37" i="20" s="1"/>
  <c r="I37" i="20" s="1"/>
  <c r="J37" i="20" s="1"/>
  <c r="K37" i="20" s="1"/>
  <c r="L37" i="20" s="1"/>
  <c r="M37" i="20" s="1"/>
  <c r="N37" i="20" s="1"/>
  <c r="O36" i="20"/>
  <c r="D24" i="11"/>
  <c r="D30" i="9"/>
  <c r="D50" i="13"/>
  <c r="S23" i="12"/>
  <c r="K24" i="11"/>
  <c r="K50" i="13"/>
  <c r="K30" i="9"/>
  <c r="N54" i="13"/>
  <c r="N34" i="9"/>
  <c r="O95" i="20"/>
  <c r="C54" i="13"/>
  <c r="C34" i="9"/>
  <c r="L53" i="13"/>
  <c r="L33" i="9"/>
  <c r="O13" i="13"/>
  <c r="AB15" i="12"/>
  <c r="D19" i="12"/>
  <c r="O19" i="12" s="1"/>
  <c r="W43" i="7"/>
  <c r="W45" i="7" s="1"/>
  <c r="H45" i="7"/>
  <c r="AA37" i="7"/>
  <c r="AA39" i="7" s="1"/>
  <c r="L39" i="7"/>
  <c r="O27" i="6"/>
  <c r="B21" i="7" s="1"/>
  <c r="AA48" i="7"/>
  <c r="Y17" i="12" s="1"/>
  <c r="G56" i="13"/>
  <c r="G36" i="9" s="1"/>
  <c r="H11" i="11"/>
  <c r="G10" i="11"/>
  <c r="G55" i="6"/>
  <c r="C47" i="7"/>
  <c r="O13" i="7"/>
  <c r="R13" i="7"/>
  <c r="C15" i="7"/>
  <c r="H39" i="7"/>
  <c r="E48" i="7"/>
  <c r="T14" i="7"/>
  <c r="T48" i="7" s="1"/>
  <c r="F39" i="7"/>
  <c r="U37" i="7"/>
  <c r="U39" i="7" s="1"/>
  <c r="J33" i="7"/>
  <c r="Y31" i="7"/>
  <c r="Y33" i="7" s="1"/>
  <c r="J48" i="7"/>
  <c r="J17" i="12" s="1"/>
  <c r="M15" i="7"/>
  <c r="M47" i="7"/>
  <c r="AB13" i="7"/>
  <c r="C153" i="20"/>
  <c r="D152" i="20" s="1"/>
  <c r="D153" i="20" s="1"/>
  <c r="E152" i="20" s="1"/>
  <c r="E153" i="20" s="1"/>
  <c r="F152" i="20" s="1"/>
  <c r="F153" i="20" s="1"/>
  <c r="G152" i="20" s="1"/>
  <c r="G153" i="20" s="1"/>
  <c r="H152" i="20" s="1"/>
  <c r="H153" i="20" s="1"/>
  <c r="I152" i="20" s="1"/>
  <c r="I153" i="20" s="1"/>
  <c r="J152" i="20" s="1"/>
  <c r="J153" i="20" s="1"/>
  <c r="K152" i="20" s="1"/>
  <c r="K153" i="20" s="1"/>
  <c r="L152" i="20" s="1"/>
  <c r="L153" i="20" s="1"/>
  <c r="M152" i="20" s="1"/>
  <c r="M153" i="20" s="1"/>
  <c r="N152" i="20" s="1"/>
  <c r="N153" i="20" s="1"/>
  <c r="C155" i="20" s="1"/>
  <c r="O59" i="20"/>
  <c r="E30" i="10" s="1"/>
  <c r="E51" i="14" s="1"/>
  <c r="I52" i="13"/>
  <c r="I32" i="9"/>
  <c r="O63" i="20"/>
  <c r="G30" i="10" s="1"/>
  <c r="G51" i="14" s="1"/>
  <c r="Z23" i="12"/>
  <c r="O19" i="20"/>
  <c r="E28" i="10" s="1"/>
  <c r="E49" i="14" s="1"/>
  <c r="C23" i="12"/>
  <c r="O23" i="12" s="1"/>
  <c r="M50" i="13"/>
  <c r="M24" i="11"/>
  <c r="M30" i="9"/>
  <c r="O55" i="20"/>
  <c r="C52" i="13"/>
  <c r="C32" i="9"/>
  <c r="H53" i="13"/>
  <c r="H33" i="9"/>
  <c r="E32" i="9"/>
  <c r="E52" i="13"/>
  <c r="O103" i="20"/>
  <c r="G32" i="10" s="1"/>
  <c r="G53" i="14" s="1"/>
  <c r="O104" i="20"/>
  <c r="G53" i="13"/>
  <c r="G33" i="9"/>
  <c r="F53" i="13"/>
  <c r="F33" i="9"/>
  <c r="M53" i="13"/>
  <c r="M33" i="9"/>
  <c r="K51" i="13"/>
  <c r="K31" i="9"/>
  <c r="D17" i="20"/>
  <c r="E17" i="20" s="1"/>
  <c r="F17" i="20" s="1"/>
  <c r="G17" i="20" s="1"/>
  <c r="H17" i="20" s="1"/>
  <c r="I17" i="20" s="1"/>
  <c r="J17" i="20" s="1"/>
  <c r="K17" i="20" s="1"/>
  <c r="L17" i="20" s="1"/>
  <c r="M17" i="20" s="1"/>
  <c r="N17" i="20" s="1"/>
  <c r="N53" i="13"/>
  <c r="N33" i="9"/>
  <c r="D51" i="13"/>
  <c r="D31" i="9"/>
  <c r="O15" i="20"/>
  <c r="C50" i="13"/>
  <c r="C24" i="11"/>
  <c r="C30" i="9"/>
  <c r="J24" i="11"/>
  <c r="J30" i="9"/>
  <c r="J50" i="13"/>
  <c r="I23" i="12"/>
  <c r="O23" i="20"/>
  <c r="G28" i="10" s="1"/>
  <c r="G49" i="14" s="1"/>
  <c r="P23" i="12"/>
  <c r="O16" i="20"/>
  <c r="J23" i="12"/>
  <c r="Q23" i="12"/>
  <c r="L54" i="13"/>
  <c r="L34" i="9"/>
  <c r="F54" i="13"/>
  <c r="F34" i="9"/>
  <c r="C97" i="20"/>
  <c r="D97" i="20" s="1"/>
  <c r="E97" i="20" s="1"/>
  <c r="F97" i="20" s="1"/>
  <c r="G97" i="20" s="1"/>
  <c r="H97" i="20" s="1"/>
  <c r="I97" i="20" s="1"/>
  <c r="J97" i="20" s="1"/>
  <c r="K97" i="20" s="1"/>
  <c r="L97" i="20" s="1"/>
  <c r="M97" i="20" s="1"/>
  <c r="N97" i="20" s="1"/>
  <c r="O96" i="20"/>
  <c r="G54" i="13"/>
  <c r="G34" i="9"/>
  <c r="F11" i="15"/>
  <c r="E27" i="17" s="1"/>
  <c r="D27" i="17"/>
  <c r="C43" i="14"/>
  <c r="H48" i="7"/>
  <c r="H17" i="12" s="1"/>
  <c r="W14" i="7"/>
  <c r="W48" i="7" s="1"/>
  <c r="U17" i="12" s="1"/>
  <c r="O44" i="7"/>
  <c r="E21" i="14" s="1"/>
  <c r="V37" i="7"/>
  <c r="V39" i="7" s="1"/>
  <c r="G39" i="7"/>
  <c r="S31" i="7"/>
  <c r="S33" i="7" s="1"/>
  <c r="D33" i="7"/>
  <c r="J21" i="7"/>
  <c r="Y19" i="7"/>
  <c r="E117" i="20"/>
  <c r="D48" i="13"/>
  <c r="D28" i="9"/>
  <c r="H33" i="7"/>
  <c r="W19" i="7"/>
  <c r="W21" i="7" s="1"/>
  <c r="H21" i="7"/>
  <c r="AD12" i="7"/>
  <c r="D18" i="11"/>
  <c r="L48" i="7"/>
  <c r="K56" i="13"/>
  <c r="K36" i="9" s="1"/>
  <c r="L11" i="11"/>
  <c r="K10" i="11"/>
  <c r="K12" i="11" s="1"/>
  <c r="K55" i="6"/>
  <c r="G47" i="7"/>
  <c r="V13" i="7"/>
  <c r="G15" i="7"/>
  <c r="O9" i="13"/>
  <c r="C15" i="13"/>
  <c r="I28" i="8"/>
  <c r="H7" i="13"/>
  <c r="H8" i="9"/>
  <c r="W10" i="7"/>
  <c r="H10" i="7"/>
  <c r="H16" i="6"/>
  <c r="E27" i="14"/>
  <c r="E43" i="14" s="1"/>
  <c r="G9" i="10"/>
  <c r="G27" i="14" s="1"/>
  <c r="W39" i="7"/>
  <c r="AA13" i="7"/>
  <c r="L15" i="7"/>
  <c r="L47" i="7"/>
  <c r="N23" i="13"/>
  <c r="E33" i="14"/>
  <c r="G15" i="10"/>
  <c r="G33" i="14" s="1"/>
  <c r="O38" i="7"/>
  <c r="E20" i="14" s="1"/>
  <c r="R38" i="7"/>
  <c r="AD38" i="7" s="1"/>
  <c r="G20" i="14" s="1"/>
  <c r="O32" i="7"/>
  <c r="E19" i="14" s="1"/>
  <c r="R32" i="7"/>
  <c r="AD32" i="7" s="1"/>
  <c r="G19" i="14" s="1"/>
  <c r="E33" i="7"/>
  <c r="T31" i="7"/>
  <c r="T33" i="7" s="1"/>
  <c r="H56" i="13"/>
  <c r="H36" i="9" s="1"/>
  <c r="I11" i="11"/>
  <c r="H10" i="11"/>
  <c r="H12" i="11" s="1"/>
  <c r="H55" i="6"/>
  <c r="E40" i="14"/>
  <c r="G22" i="10"/>
  <c r="G40" i="14" s="1"/>
  <c r="E32" i="14"/>
  <c r="G14" i="10"/>
  <c r="G32" i="14" s="1"/>
  <c r="L27" i="7"/>
  <c r="AA25" i="7"/>
  <c r="AA27" i="7" s="1"/>
  <c r="M21" i="7"/>
  <c r="AB19" i="7"/>
  <c r="AB21" i="7" s="1"/>
  <c r="E15" i="7"/>
  <c r="E47" i="7"/>
  <c r="T13" i="7"/>
  <c r="N56" i="13"/>
  <c r="N36" i="9" s="1"/>
  <c r="D10" i="12"/>
  <c r="N55" i="6"/>
  <c r="N10" i="11"/>
  <c r="N12" i="11" s="1"/>
  <c r="I45" i="7"/>
  <c r="X43" i="7"/>
  <c r="X45" i="7" s="1"/>
  <c r="O39" i="6"/>
  <c r="B33" i="7" s="1"/>
  <c r="V31" i="7"/>
  <c r="V33" i="7" s="1"/>
  <c r="G33" i="7"/>
  <c r="V25" i="7"/>
  <c r="V27" i="7" s="1"/>
  <c r="G27" i="7"/>
  <c r="O11" i="13"/>
  <c r="O10" i="13"/>
  <c r="K18" i="11"/>
  <c r="G23" i="13"/>
  <c r="N47" i="7"/>
  <c r="N15" i="7"/>
  <c r="AC13" i="7"/>
  <c r="F15" i="13"/>
  <c r="K8" i="9"/>
  <c r="L28" i="8"/>
  <c r="Z10" i="7"/>
  <c r="K10" i="7"/>
  <c r="K16" i="6"/>
  <c r="K7" i="13"/>
  <c r="C139" i="20"/>
  <c r="D138" i="20" s="1"/>
  <c r="C47" i="13"/>
  <c r="E19" i="12"/>
  <c r="G26" i="14"/>
  <c r="AA19" i="12"/>
  <c r="W19" i="12"/>
  <c r="V19" i="12"/>
  <c r="R19" i="12"/>
  <c r="X19" i="12"/>
  <c r="P19" i="12"/>
  <c r="G23" i="10"/>
  <c r="F19" i="12"/>
  <c r="G19" i="12"/>
  <c r="AA21" i="7"/>
  <c r="AA43" i="7"/>
  <c r="AA45" i="7" s="1"/>
  <c r="L45" i="7"/>
  <c r="F33" i="7"/>
  <c r="U31" i="7"/>
  <c r="U33" i="7" s="1"/>
  <c r="F18" i="11"/>
  <c r="G19" i="4"/>
  <c r="H19" i="4" s="1"/>
  <c r="I19" i="4" s="1"/>
  <c r="J19" i="4" s="1"/>
  <c r="K19" i="4" s="1"/>
  <c r="L19" i="4" s="1"/>
  <c r="M19" i="4" s="1"/>
  <c r="N19" i="4" s="1"/>
  <c r="O19" i="4" s="1"/>
  <c r="P19" i="4" s="1"/>
  <c r="Q19" i="4" s="1"/>
  <c r="I21" i="7"/>
  <c r="X19" i="7"/>
  <c r="X21" i="7" s="1"/>
  <c r="Z43" i="7"/>
  <c r="Z45" i="7" s="1"/>
  <c r="K45" i="7"/>
  <c r="O14" i="13"/>
  <c r="M33" i="7"/>
  <c r="AB31" i="7"/>
  <c r="AB33" i="7" s="1"/>
  <c r="O26" i="7"/>
  <c r="E18" i="14" s="1"/>
  <c r="R26" i="7"/>
  <c r="AD26" i="7" s="1"/>
  <c r="G18" i="14" s="1"/>
  <c r="L15" i="13"/>
  <c r="L136" i="20"/>
  <c r="L147" i="20"/>
  <c r="L115" i="20"/>
  <c r="L73" i="20"/>
  <c r="L13" i="20"/>
  <c r="L93" i="20"/>
  <c r="L33" i="20"/>
  <c r="L53" i="20"/>
  <c r="L6" i="12"/>
  <c r="Y6" i="12" s="1"/>
  <c r="L7" i="11"/>
  <c r="O14" i="4"/>
  <c r="I147" i="20"/>
  <c r="I115" i="20"/>
  <c r="I136" i="20"/>
  <c r="I73" i="20"/>
  <c r="I93" i="20"/>
  <c r="I13" i="20"/>
  <c r="I53" i="20"/>
  <c r="I33" i="20"/>
  <c r="I6" i="12"/>
  <c r="V6" i="12" s="1"/>
  <c r="I7" i="11"/>
  <c r="L14" i="4"/>
  <c r="L50" i="13"/>
  <c r="L24" i="11"/>
  <c r="L30" i="9"/>
  <c r="D23" i="12"/>
  <c r="M23" i="12"/>
  <c r="H54" i="13"/>
  <c r="H34" i="9"/>
  <c r="N21" i="7"/>
  <c r="AC19" i="7"/>
  <c r="AC21" i="7" s="1"/>
  <c r="L18" i="11"/>
  <c r="D52" i="13"/>
  <c r="D32" i="9"/>
  <c r="V23" i="12"/>
  <c r="I50" i="13"/>
  <c r="I30" i="9"/>
  <c r="I24" i="11"/>
  <c r="G52" i="13"/>
  <c r="G32" i="9"/>
  <c r="D53" i="13"/>
  <c r="D33" i="9"/>
  <c r="K53" i="13"/>
  <c r="K33" i="9"/>
  <c r="F51" i="13"/>
  <c r="F31" i="9"/>
  <c r="H51" i="13"/>
  <c r="H31" i="9"/>
  <c r="O99" i="20"/>
  <c r="E32" i="10" s="1"/>
  <c r="E53" i="14" s="1"/>
  <c r="T23" i="12"/>
  <c r="N50" i="13"/>
  <c r="N24" i="11"/>
  <c r="N30" i="9"/>
  <c r="Y23" i="12"/>
  <c r="G24" i="11"/>
  <c r="N23" i="12"/>
  <c r="U23" i="12"/>
  <c r="O20" i="20"/>
  <c r="W23" i="12"/>
  <c r="D54" i="13"/>
  <c r="D34" i="9"/>
  <c r="M54" i="13"/>
  <c r="M34" i="9"/>
  <c r="K54" i="13"/>
  <c r="K34" i="9"/>
  <c r="E24" i="15"/>
  <c r="N45" i="7"/>
  <c r="AC43" i="7"/>
  <c r="AC45" i="7" s="1"/>
  <c r="F45" i="7"/>
  <c r="U43" i="7"/>
  <c r="U45" i="7" s="1"/>
  <c r="B37" i="7"/>
  <c r="C12" i="14" s="1"/>
  <c r="P44" i="6"/>
  <c r="P45" i="6"/>
  <c r="F21" i="7"/>
  <c r="U19" i="7"/>
  <c r="U21" i="7" s="1"/>
  <c r="L23" i="13"/>
  <c r="E27" i="7"/>
  <c r="W33" i="7"/>
  <c r="Y48" i="7"/>
  <c r="I56" i="13"/>
  <c r="I36" i="9" s="1"/>
  <c r="I10" i="11"/>
  <c r="I12" i="11" s="1"/>
  <c r="I55" i="6"/>
  <c r="J11" i="11"/>
  <c r="S37" i="7"/>
  <c r="S39" i="7" s="1"/>
  <c r="D39" i="7"/>
  <c r="D48" i="7"/>
  <c r="D17" i="12" s="1"/>
  <c r="S14" i="7"/>
  <c r="S48" i="7" s="1"/>
  <c r="K47" i="7"/>
  <c r="Z13" i="7"/>
  <c r="K15" i="7"/>
  <c r="G15" i="13"/>
  <c r="E28" i="8"/>
  <c r="D7" i="13"/>
  <c r="D8" i="9"/>
  <c r="D10" i="7"/>
  <c r="S10" i="7"/>
  <c r="D16" i="6"/>
  <c r="C10" i="12"/>
  <c r="M10" i="11"/>
  <c r="M56" i="13"/>
  <c r="M36" i="9" s="1"/>
  <c r="N11" i="11"/>
  <c r="M55" i="6"/>
  <c r="J7" i="13"/>
  <c r="J8" i="9"/>
  <c r="K28" i="8"/>
  <c r="Y10" i="7"/>
  <c r="J10" i="7"/>
  <c r="J16" i="6"/>
  <c r="J12" i="11"/>
  <c r="V43" i="7"/>
  <c r="V45" i="7" s="1"/>
  <c r="G45" i="7"/>
  <c r="O21" i="13"/>
  <c r="O20" i="13"/>
  <c r="H15" i="13"/>
  <c r="H24" i="13" s="1"/>
  <c r="S25" i="7"/>
  <c r="S27" i="7" s="1"/>
  <c r="D27" i="7"/>
  <c r="E21" i="7"/>
  <c r="T19" i="7"/>
  <c r="T21" i="7" s="1"/>
  <c r="AD46" i="7"/>
  <c r="F56" i="13"/>
  <c r="F36" i="9" s="1"/>
  <c r="G11" i="11"/>
  <c r="F55" i="6"/>
  <c r="F10" i="11"/>
  <c r="F12" i="11" s="1"/>
  <c r="B31" i="7"/>
  <c r="C11" i="14" s="1"/>
  <c r="P38" i="6"/>
  <c r="P39" i="6"/>
  <c r="K27" i="7"/>
  <c r="Z25" i="7"/>
  <c r="Z27" i="7" s="1"/>
  <c r="V19" i="7"/>
  <c r="V21" i="7" s="1"/>
  <c r="G21" i="7"/>
  <c r="K23" i="13"/>
  <c r="K24" i="13" s="1"/>
  <c r="C48" i="7"/>
  <c r="O14" i="7"/>
  <c r="E16" i="14" s="1"/>
  <c r="E22" i="14" s="1"/>
  <c r="D26" i="17" s="1"/>
  <c r="R14" i="7"/>
  <c r="N15" i="13"/>
  <c r="F15" i="4"/>
  <c r="G7" i="13"/>
  <c r="G8" i="9"/>
  <c r="H28" i="8"/>
  <c r="V10" i="7"/>
  <c r="G10" i="7"/>
  <c r="G16" i="6"/>
  <c r="L19" i="12"/>
  <c r="H19" i="12"/>
  <c r="J19" i="12"/>
  <c r="K19" i="12"/>
  <c r="E31" i="14"/>
  <c r="G13" i="10"/>
  <c r="G31" i="14" s="1"/>
  <c r="M48" i="7"/>
  <c r="M17" i="12" s="1"/>
  <c r="AB14" i="7"/>
  <c r="AB48" i="7" s="1"/>
  <c r="Z17" i="12" s="1"/>
  <c r="J39" i="7"/>
  <c r="Y37" i="7"/>
  <c r="Y39" i="7" s="1"/>
  <c r="N33" i="7"/>
  <c r="AC31" i="7"/>
  <c r="AC33" i="7" s="1"/>
  <c r="F27" i="7"/>
  <c r="U25" i="7"/>
  <c r="U27" i="7" s="1"/>
  <c r="F23" i="13"/>
  <c r="I15" i="13"/>
  <c r="I24" i="13" s="1"/>
  <c r="E23" i="4"/>
  <c r="W27" i="7"/>
  <c r="Y15" i="7"/>
  <c r="M39" i="7"/>
  <c r="AB37" i="7"/>
  <c r="AB39" i="7" s="1"/>
  <c r="E39" i="7"/>
  <c r="T37" i="7"/>
  <c r="T39" i="7" s="1"/>
  <c r="O19" i="13"/>
  <c r="D56" i="13"/>
  <c r="D36" i="9" s="1"/>
  <c r="E11" i="11"/>
  <c r="D10" i="11"/>
  <c r="D55" i="6"/>
  <c r="E147" i="20"/>
  <c r="E115" i="20"/>
  <c r="E136" i="20"/>
  <c r="E73" i="20"/>
  <c r="E53" i="20"/>
  <c r="E13" i="20"/>
  <c r="E93" i="20"/>
  <c r="E6" i="12"/>
  <c r="R6" i="12" s="1"/>
  <c r="E7" i="11"/>
  <c r="E33" i="20"/>
  <c r="H14" i="4"/>
  <c r="M147" i="20"/>
  <c r="M115" i="20"/>
  <c r="M136" i="20"/>
  <c r="M73" i="20"/>
  <c r="M13" i="20"/>
  <c r="M93" i="20"/>
  <c r="M53" i="20"/>
  <c r="M33" i="20"/>
  <c r="M6" i="12"/>
  <c r="Z6" i="12" s="1"/>
  <c r="M7" i="11"/>
  <c r="P14" i="4"/>
  <c r="H18" i="11"/>
  <c r="C37" i="9" l="1"/>
  <c r="C57" i="13"/>
  <c r="V47" i="7"/>
  <c r="V15" i="7"/>
  <c r="O24" i="11"/>
  <c r="B23" i="12" s="1"/>
  <c r="O15" i="7"/>
  <c r="O34" i="9"/>
  <c r="C32" i="10" s="1"/>
  <c r="C53" i="14" s="1"/>
  <c r="Q38" i="6"/>
  <c r="B48" i="7"/>
  <c r="Q20" i="6"/>
  <c r="Q50" i="6"/>
  <c r="Q32" i="6"/>
  <c r="Q26" i="6"/>
  <c r="Q44" i="6"/>
  <c r="V9" i="12"/>
  <c r="X49" i="7"/>
  <c r="L12" i="11"/>
  <c r="E13" i="14"/>
  <c r="P44" i="7"/>
  <c r="P45" i="7"/>
  <c r="P37" i="6"/>
  <c r="D136" i="20"/>
  <c r="D147" i="20"/>
  <c r="D93" i="20"/>
  <c r="D53" i="20"/>
  <c r="D115" i="20"/>
  <c r="D33" i="20"/>
  <c r="D13" i="20"/>
  <c r="D73" i="20"/>
  <c r="D6" i="12"/>
  <c r="Q6" i="12" s="1"/>
  <c r="D7" i="11"/>
  <c r="G14" i="4"/>
  <c r="Z47" i="7"/>
  <c r="Z15" i="7"/>
  <c r="L24" i="13"/>
  <c r="F24" i="13"/>
  <c r="E9" i="12"/>
  <c r="E49" i="7"/>
  <c r="G10" i="12"/>
  <c r="I10" i="12"/>
  <c r="G49" i="7"/>
  <c r="G9" i="12"/>
  <c r="AB23" i="12"/>
  <c r="AB47" i="7"/>
  <c r="AB15" i="7"/>
  <c r="R47" i="7"/>
  <c r="AD13" i="7"/>
  <c r="R15" i="7"/>
  <c r="O54" i="13"/>
  <c r="F10" i="12"/>
  <c r="D9" i="12"/>
  <c r="D11" i="12" s="1"/>
  <c r="D49" i="7"/>
  <c r="O56" i="13"/>
  <c r="C36" i="9"/>
  <c r="O36" i="9" s="1"/>
  <c r="C34" i="10" s="1"/>
  <c r="N115" i="20"/>
  <c r="N136" i="20"/>
  <c r="N147" i="20"/>
  <c r="N93" i="20"/>
  <c r="N53" i="20"/>
  <c r="N33" i="20"/>
  <c r="N6" i="12"/>
  <c r="AA6" i="12" s="1"/>
  <c r="N73" i="20"/>
  <c r="N13" i="20"/>
  <c r="Q14" i="4"/>
  <c r="N7" i="11"/>
  <c r="O21" i="7"/>
  <c r="C24" i="18"/>
  <c r="D24" i="18" s="1"/>
  <c r="C22" i="18"/>
  <c r="D22" i="18" s="1"/>
  <c r="C22" i="17"/>
  <c r="D15" i="17"/>
  <c r="C29" i="18"/>
  <c r="D29" i="18" s="1"/>
  <c r="C10" i="16"/>
  <c r="C11" i="16" s="1"/>
  <c r="D44" i="14"/>
  <c r="C23" i="14"/>
  <c r="D56" i="14"/>
  <c r="D22" i="14"/>
  <c r="C24" i="17"/>
  <c r="D23" i="14"/>
  <c r="C19" i="17"/>
  <c r="C16" i="17"/>
  <c r="D59" i="14"/>
  <c r="D43" i="14"/>
  <c r="AA17" i="12"/>
  <c r="F23" i="4"/>
  <c r="C17" i="12"/>
  <c r="O48" i="7"/>
  <c r="J115" i="20"/>
  <c r="J136" i="20"/>
  <c r="J147" i="20"/>
  <c r="J53" i="20"/>
  <c r="J73" i="20"/>
  <c r="J93" i="20"/>
  <c r="J33" i="20"/>
  <c r="J13" i="20"/>
  <c r="J6" i="12"/>
  <c r="W6" i="12" s="1"/>
  <c r="J7" i="11"/>
  <c r="M14" i="4"/>
  <c r="M10" i="12"/>
  <c r="K9" i="12"/>
  <c r="K11" i="12" s="1"/>
  <c r="K49" i="7"/>
  <c r="P43" i="6"/>
  <c r="T19" i="12"/>
  <c r="Q19" i="12"/>
  <c r="Z19" i="12"/>
  <c r="G43" i="14"/>
  <c r="D139" i="20"/>
  <c r="E138" i="20" s="1"/>
  <c r="D47" i="13"/>
  <c r="AC47" i="7"/>
  <c r="AC15" i="7"/>
  <c r="L17" i="12"/>
  <c r="O32" i="9"/>
  <c r="C30" i="10" s="1"/>
  <c r="C51" i="14" s="1"/>
  <c r="M9" i="12"/>
  <c r="M11" i="12" s="1"/>
  <c r="M49" i="7"/>
  <c r="P10" i="12"/>
  <c r="E17" i="12"/>
  <c r="E8" i="14"/>
  <c r="P14" i="7"/>
  <c r="P13" i="7" s="1"/>
  <c r="P15" i="7"/>
  <c r="J11" i="12"/>
  <c r="S17" i="12"/>
  <c r="B47" i="7"/>
  <c r="C55" i="14"/>
  <c r="Q31" i="6"/>
  <c r="Q43" i="6"/>
  <c r="Q37" i="6"/>
  <c r="Q49" i="6"/>
  <c r="Q19" i="6"/>
  <c r="Q25" i="6"/>
  <c r="C81" i="20"/>
  <c r="D81" i="20" s="1"/>
  <c r="E81" i="20" s="1"/>
  <c r="F81" i="20" s="1"/>
  <c r="G81" i="20" s="1"/>
  <c r="H81" i="20" s="1"/>
  <c r="I81" i="20" s="1"/>
  <c r="J81" i="20" s="1"/>
  <c r="K81" i="20" s="1"/>
  <c r="L81" i="20" s="1"/>
  <c r="M81" i="20" s="1"/>
  <c r="N81" i="20" s="1"/>
  <c r="D34" i="15"/>
  <c r="O51" i="13"/>
  <c r="O45" i="7"/>
  <c r="AD19" i="7"/>
  <c r="R21" i="7"/>
  <c r="O27" i="7"/>
  <c r="P31" i="6"/>
  <c r="E11" i="14"/>
  <c r="P32" i="7"/>
  <c r="P33" i="7"/>
  <c r="P19" i="6"/>
  <c r="G15" i="4"/>
  <c r="T17" i="12"/>
  <c r="E12" i="14"/>
  <c r="P38" i="7"/>
  <c r="P37" i="7" s="1"/>
  <c r="P39" i="7"/>
  <c r="O55" i="6"/>
  <c r="G115" i="20"/>
  <c r="G136" i="20"/>
  <c r="G147" i="20"/>
  <c r="G93" i="20"/>
  <c r="G53" i="20"/>
  <c r="G73" i="20"/>
  <c r="G33" i="20"/>
  <c r="G13" i="20"/>
  <c r="G6" i="12"/>
  <c r="T6" i="12" s="1"/>
  <c r="G7" i="11"/>
  <c r="J14" i="4"/>
  <c r="R48" i="7"/>
  <c r="AD14" i="7"/>
  <c r="G16" i="14" s="1"/>
  <c r="G22" i="14" s="1"/>
  <c r="E26" i="17" s="1"/>
  <c r="K115" i="20"/>
  <c r="K136" i="20"/>
  <c r="K147" i="20"/>
  <c r="K93" i="20"/>
  <c r="K53" i="20"/>
  <c r="K33" i="20"/>
  <c r="K73" i="20"/>
  <c r="K13" i="20"/>
  <c r="K7" i="11"/>
  <c r="K6" i="12"/>
  <c r="X6" i="12" s="1"/>
  <c r="N14" i="4"/>
  <c r="Q10" i="12"/>
  <c r="N9" i="12"/>
  <c r="N49" i="7"/>
  <c r="T47" i="7"/>
  <c r="T15" i="7"/>
  <c r="E119" i="20"/>
  <c r="C156" i="20"/>
  <c r="D155" i="20" s="1"/>
  <c r="D156" i="20" s="1"/>
  <c r="E155" i="20" s="1"/>
  <c r="E156" i="20" s="1"/>
  <c r="F155" i="20" s="1"/>
  <c r="F156" i="20" s="1"/>
  <c r="G155" i="20" s="1"/>
  <c r="G156" i="20" s="1"/>
  <c r="H155" i="20" s="1"/>
  <c r="H156" i="20" s="1"/>
  <c r="I155" i="20" s="1"/>
  <c r="I156" i="20" s="1"/>
  <c r="J155" i="20" s="1"/>
  <c r="J156" i="20" s="1"/>
  <c r="K155" i="20" s="1"/>
  <c r="K156" i="20" s="1"/>
  <c r="L155" i="20" s="1"/>
  <c r="L156" i="20" s="1"/>
  <c r="M155" i="20" s="1"/>
  <c r="M156" i="20" s="1"/>
  <c r="N155" i="20" s="1"/>
  <c r="N156" i="20" s="1"/>
  <c r="F115" i="20"/>
  <c r="F136" i="20"/>
  <c r="F147" i="20"/>
  <c r="F73" i="20"/>
  <c r="F53" i="20"/>
  <c r="F13" i="20"/>
  <c r="F93" i="20"/>
  <c r="F6" i="12"/>
  <c r="S6" i="12" s="1"/>
  <c r="F33" i="20"/>
  <c r="F7" i="11"/>
  <c r="I14" i="4"/>
  <c r="I11" i="12"/>
  <c r="O11" i="11"/>
  <c r="B10" i="12" s="1"/>
  <c r="D12" i="11"/>
  <c r="N10" i="12"/>
  <c r="L9" i="12"/>
  <c r="L11" i="12" s="1"/>
  <c r="L49" i="7"/>
  <c r="C24" i="13"/>
  <c r="O15" i="13"/>
  <c r="Y21" i="7"/>
  <c r="Y47" i="7"/>
  <c r="X10" i="12" s="1"/>
  <c r="C101" i="20"/>
  <c r="D101" i="20" s="1"/>
  <c r="E101" i="20" s="1"/>
  <c r="F101" i="20" s="1"/>
  <c r="G101" i="20" s="1"/>
  <c r="H101" i="20" s="1"/>
  <c r="I101" i="20" s="1"/>
  <c r="J101" i="20" s="1"/>
  <c r="K101" i="20" s="1"/>
  <c r="L101" i="20" s="1"/>
  <c r="M101" i="20" s="1"/>
  <c r="N101" i="20" s="1"/>
  <c r="D35" i="15"/>
  <c r="O50" i="13"/>
  <c r="G12" i="11"/>
  <c r="C41" i="20"/>
  <c r="D41" i="20" s="1"/>
  <c r="E41" i="20" s="1"/>
  <c r="F41" i="20" s="1"/>
  <c r="G41" i="20" s="1"/>
  <c r="H41" i="20" s="1"/>
  <c r="I41" i="20" s="1"/>
  <c r="J41" i="20" s="1"/>
  <c r="K41" i="20" s="1"/>
  <c r="L41" i="20" s="1"/>
  <c r="M41" i="20" s="1"/>
  <c r="N41" i="20" s="1"/>
  <c r="D32" i="15"/>
  <c r="O18" i="11"/>
  <c r="B17" i="12" s="1"/>
  <c r="F17" i="12"/>
  <c r="F25" i="4"/>
  <c r="U47" i="7"/>
  <c r="U15" i="7"/>
  <c r="AD31" i="7"/>
  <c r="R33" i="7"/>
  <c r="AD33" i="7" s="1"/>
  <c r="J10" i="12"/>
  <c r="H9" i="12"/>
  <c r="H11" i="12" s="1"/>
  <c r="H49" i="7"/>
  <c r="G12" i="4"/>
  <c r="AD37" i="7"/>
  <c r="R39" i="7"/>
  <c r="AD39" i="7" s="1"/>
  <c r="N24" i="13"/>
  <c r="M12" i="11"/>
  <c r="G24" i="13"/>
  <c r="W17" i="12"/>
  <c r="R19" i="4"/>
  <c r="C20" i="5" s="1"/>
  <c r="E20" i="5" s="1"/>
  <c r="G20" i="5" s="1"/>
  <c r="U19" i="12"/>
  <c r="Y19" i="12"/>
  <c r="S19" i="12"/>
  <c r="AA47" i="7"/>
  <c r="AA15" i="7"/>
  <c r="H136" i="20"/>
  <c r="H147" i="20"/>
  <c r="H115" i="20"/>
  <c r="H93" i="20"/>
  <c r="H73" i="20"/>
  <c r="H33" i="20"/>
  <c r="H53" i="20"/>
  <c r="H13" i="20"/>
  <c r="H7" i="11"/>
  <c r="H6" i="12"/>
  <c r="U6" i="12" s="1"/>
  <c r="K14" i="4"/>
  <c r="O30" i="9"/>
  <c r="C28" i="10" s="1"/>
  <c r="C49" i="14" s="1"/>
  <c r="D31" i="15"/>
  <c r="C21" i="20"/>
  <c r="D21" i="20" s="1"/>
  <c r="E21" i="20" s="1"/>
  <c r="F21" i="20" s="1"/>
  <c r="G21" i="20" s="1"/>
  <c r="H21" i="20" s="1"/>
  <c r="I21" i="20" s="1"/>
  <c r="J21" i="20" s="1"/>
  <c r="K21" i="20" s="1"/>
  <c r="L21" i="20" s="1"/>
  <c r="M21" i="20" s="1"/>
  <c r="N21" i="20" s="1"/>
  <c r="O52" i="13"/>
  <c r="O152" i="20"/>
  <c r="E10" i="12"/>
  <c r="O10" i="12" s="1"/>
  <c r="O47" i="7"/>
  <c r="E55" i="14" s="1"/>
  <c r="C9" i="12"/>
  <c r="C49" i="7"/>
  <c r="S47" i="7"/>
  <c r="S15" i="7"/>
  <c r="J49" i="7"/>
  <c r="C12" i="11"/>
  <c r="O10" i="11"/>
  <c r="O31" i="9"/>
  <c r="C29" i="10" s="1"/>
  <c r="C50" i="14" s="1"/>
  <c r="V17" i="12"/>
  <c r="AD43" i="7"/>
  <c r="R45" i="7"/>
  <c r="AD45" i="7" s="1"/>
  <c r="R9" i="4"/>
  <c r="C10" i="5" s="1"/>
  <c r="E10" i="5" s="1"/>
  <c r="G10" i="5" s="1"/>
  <c r="F9" i="12"/>
  <c r="F11" i="12" s="1"/>
  <c r="H10" i="12"/>
  <c r="F49" i="7"/>
  <c r="X17" i="12"/>
  <c r="E9" i="14"/>
  <c r="P20" i="7"/>
  <c r="P21" i="7"/>
  <c r="R27" i="7"/>
  <c r="AD27" i="7" s="1"/>
  <c r="AD25" i="7"/>
  <c r="O53" i="13"/>
  <c r="G16" i="4"/>
  <c r="G17" i="12"/>
  <c r="O23" i="13"/>
  <c r="K17" i="12"/>
  <c r="E10" i="14"/>
  <c r="P27" i="7"/>
  <c r="P26" i="7"/>
  <c r="O33" i="7"/>
  <c r="W47" i="7"/>
  <c r="W15" i="7"/>
  <c r="O33" i="9"/>
  <c r="C31" i="10" s="1"/>
  <c r="C52" i="14" s="1"/>
  <c r="C61" i="20"/>
  <c r="D61" i="20" s="1"/>
  <c r="E61" i="20" s="1"/>
  <c r="F61" i="20" s="1"/>
  <c r="G61" i="20" s="1"/>
  <c r="H61" i="20" s="1"/>
  <c r="I61" i="20" s="1"/>
  <c r="J61" i="20" s="1"/>
  <c r="K61" i="20" s="1"/>
  <c r="L61" i="20" s="1"/>
  <c r="M61" i="20" s="1"/>
  <c r="N61" i="20" s="1"/>
  <c r="D33" i="15"/>
  <c r="I17" i="12"/>
  <c r="I8" i="4"/>
  <c r="H16" i="4"/>
  <c r="H12" i="4"/>
  <c r="H15" i="4"/>
  <c r="C115" i="20"/>
  <c r="C136" i="20"/>
  <c r="C147" i="20"/>
  <c r="C93" i="20"/>
  <c r="C33" i="20"/>
  <c r="C53" i="20"/>
  <c r="C73" i="20"/>
  <c r="C13" i="20"/>
  <c r="C7" i="11"/>
  <c r="C6" i="12"/>
  <c r="P6" i="12" s="1"/>
  <c r="F14" i="4"/>
  <c r="O39" i="7"/>
  <c r="C65" i="20" l="1"/>
  <c r="D65" i="20" s="1"/>
  <c r="E65" i="20" s="1"/>
  <c r="F65" i="20" s="1"/>
  <c r="G65" i="20" s="1"/>
  <c r="H65" i="20" s="1"/>
  <c r="I65" i="20" s="1"/>
  <c r="J65" i="20" s="1"/>
  <c r="K65" i="20" s="1"/>
  <c r="L65" i="20" s="1"/>
  <c r="M65" i="20" s="1"/>
  <c r="N65" i="20" s="1"/>
  <c r="F33" i="15" s="1"/>
  <c r="E33" i="15"/>
  <c r="Y9" i="12"/>
  <c r="Y11" i="12" s="1"/>
  <c r="AA10" i="12"/>
  <c r="AA49" i="7"/>
  <c r="AD48" i="7"/>
  <c r="P17" i="12"/>
  <c r="G9" i="14"/>
  <c r="AE20" i="7"/>
  <c r="AE21" i="7"/>
  <c r="O17" i="12"/>
  <c r="C9" i="16"/>
  <c r="G8" i="14"/>
  <c r="AE14" i="7"/>
  <c r="AE13" i="7" s="1"/>
  <c r="AE15" i="7"/>
  <c r="C38" i="9"/>
  <c r="I16" i="4"/>
  <c r="I15" i="4"/>
  <c r="I23" i="4" s="1"/>
  <c r="I12" i="4"/>
  <c r="J8" i="4"/>
  <c r="P25" i="7"/>
  <c r="D30" i="15"/>
  <c r="P19" i="7"/>
  <c r="G12" i="14"/>
  <c r="AE38" i="7"/>
  <c r="AE37" i="7" s="1"/>
  <c r="AE39" i="7"/>
  <c r="U10" i="12"/>
  <c r="S9" i="12"/>
  <c r="U49" i="7"/>
  <c r="E32" i="15"/>
  <c r="C45" i="20"/>
  <c r="D45" i="20" s="1"/>
  <c r="E45" i="20" s="1"/>
  <c r="F45" i="20" s="1"/>
  <c r="G45" i="20" s="1"/>
  <c r="H45" i="20" s="1"/>
  <c r="I45" i="20" s="1"/>
  <c r="J45" i="20" s="1"/>
  <c r="K45" i="20" s="1"/>
  <c r="L45" i="20" s="1"/>
  <c r="M45" i="20" s="1"/>
  <c r="N45" i="20" s="1"/>
  <c r="F32" i="15" s="1"/>
  <c r="C18" i="17"/>
  <c r="D10" i="15"/>
  <c r="F117" i="20"/>
  <c r="E48" i="13"/>
  <c r="E28" i="9"/>
  <c r="N11" i="12"/>
  <c r="C85" i="20"/>
  <c r="D85" i="20" s="1"/>
  <c r="E85" i="20" s="1"/>
  <c r="F85" i="20" s="1"/>
  <c r="G85" i="20" s="1"/>
  <c r="H85" i="20" s="1"/>
  <c r="I85" i="20" s="1"/>
  <c r="J85" i="20" s="1"/>
  <c r="K85" i="20" s="1"/>
  <c r="L85" i="20" s="1"/>
  <c r="M85" i="20" s="1"/>
  <c r="N85" i="20" s="1"/>
  <c r="F34" i="15" s="1"/>
  <c r="E34" i="15"/>
  <c r="AA9" i="12"/>
  <c r="AA11" i="12" s="1"/>
  <c r="AC49" i="7"/>
  <c r="R10" i="12"/>
  <c r="AB10" i="12" s="1"/>
  <c r="P9" i="12"/>
  <c r="R49" i="7"/>
  <c r="AD47" i="7"/>
  <c r="G55" i="14" s="1"/>
  <c r="G11" i="12"/>
  <c r="P43" i="7"/>
  <c r="C19" i="16"/>
  <c r="C19" i="18"/>
  <c r="D19" i="18" s="1"/>
  <c r="C17" i="16"/>
  <c r="C17" i="17"/>
  <c r="E11" i="12"/>
  <c r="H23" i="4"/>
  <c r="G10" i="14"/>
  <c r="AE26" i="7"/>
  <c r="AE25" i="7" s="1"/>
  <c r="AE27" i="7"/>
  <c r="C11" i="12"/>
  <c r="O9" i="12"/>
  <c r="O11" i="12" s="1"/>
  <c r="G25" i="4"/>
  <c r="C21" i="11"/>
  <c r="C25" i="13"/>
  <c r="C45" i="13" s="1"/>
  <c r="C105" i="20"/>
  <c r="D105" i="20" s="1"/>
  <c r="E105" i="20" s="1"/>
  <c r="F105" i="20" s="1"/>
  <c r="G105" i="20" s="1"/>
  <c r="H105" i="20" s="1"/>
  <c r="I105" i="20" s="1"/>
  <c r="J105" i="20" s="1"/>
  <c r="K105" i="20" s="1"/>
  <c r="L105" i="20" s="1"/>
  <c r="M105" i="20" s="1"/>
  <c r="N105" i="20" s="1"/>
  <c r="F35" i="15" s="1"/>
  <c r="E35" i="15"/>
  <c r="O24" i="13"/>
  <c r="AB19" i="12"/>
  <c r="B49" i="7"/>
  <c r="Q45" i="6"/>
  <c r="Q21" i="6"/>
  <c r="Q51" i="6"/>
  <c r="Q39" i="6"/>
  <c r="Q33" i="6"/>
  <c r="Q27" i="6"/>
  <c r="H25" i="4"/>
  <c r="U9" i="12"/>
  <c r="W49" i="7"/>
  <c r="W10" i="12"/>
  <c r="G13" i="14"/>
  <c r="AE44" i="7"/>
  <c r="AE45" i="7"/>
  <c r="O12" i="11"/>
  <c r="B11" i="12" s="1"/>
  <c r="B9" i="12"/>
  <c r="Q9" i="12"/>
  <c r="Q11" i="12" s="1"/>
  <c r="S10" i="12"/>
  <c r="S49" i="7"/>
  <c r="C25" i="20"/>
  <c r="D25" i="20" s="1"/>
  <c r="E25" i="20" s="1"/>
  <c r="F25" i="20" s="1"/>
  <c r="G25" i="20" s="1"/>
  <c r="H25" i="20" s="1"/>
  <c r="I25" i="20" s="1"/>
  <c r="J25" i="20" s="1"/>
  <c r="K25" i="20" s="1"/>
  <c r="L25" i="20" s="1"/>
  <c r="M25" i="20" s="1"/>
  <c r="N25" i="20" s="1"/>
  <c r="F31" i="15" s="1"/>
  <c r="E31" i="15"/>
  <c r="Q17" i="12"/>
  <c r="AE32" i="7"/>
  <c r="AE31" i="7" s="1"/>
  <c r="G11" i="14"/>
  <c r="AE33" i="7"/>
  <c r="R17" i="12"/>
  <c r="Y10" i="12"/>
  <c r="Y49" i="7"/>
  <c r="W9" i="12"/>
  <c r="W11" i="12" s="1"/>
  <c r="O155" i="20"/>
  <c r="T10" i="12"/>
  <c r="T49" i="7"/>
  <c r="R9" i="12"/>
  <c r="R11" i="12" s="1"/>
  <c r="G23" i="4"/>
  <c r="P31" i="7"/>
  <c r="AD21" i="7"/>
  <c r="E14" i="14"/>
  <c r="E139" i="20"/>
  <c r="F138" i="20" s="1"/>
  <c r="E47" i="13"/>
  <c r="AD15" i="7"/>
  <c r="AD49" i="7" s="1"/>
  <c r="AB49" i="7"/>
  <c r="Z9" i="12"/>
  <c r="Z11" i="12" s="1"/>
  <c r="Z10" i="12"/>
  <c r="X9" i="12"/>
  <c r="X11" i="12" s="1"/>
  <c r="Z49" i="7"/>
  <c r="O49" i="7"/>
  <c r="V10" i="12"/>
  <c r="V11" i="12" s="1"/>
  <c r="T9" i="12"/>
  <c r="V49" i="7"/>
  <c r="C64" i="13" l="1"/>
  <c r="C65" i="13" s="1"/>
  <c r="C58" i="13"/>
  <c r="D25" i="13"/>
  <c r="D21" i="11"/>
  <c r="E30" i="15"/>
  <c r="D24" i="17"/>
  <c r="D19" i="17"/>
  <c r="D18" i="17"/>
  <c r="D16" i="17"/>
  <c r="F43" i="14"/>
  <c r="D22" i="17"/>
  <c r="D17" i="17"/>
  <c r="E23" i="14"/>
  <c r="F22" i="14"/>
  <c r="F59" i="14"/>
  <c r="F23" i="14"/>
  <c r="F44" i="14"/>
  <c r="E15" i="17"/>
  <c r="F56" i="14"/>
  <c r="U11" i="12"/>
  <c r="AE19" i="7"/>
  <c r="E21" i="11"/>
  <c r="E25" i="13"/>
  <c r="C20" i="16"/>
  <c r="C36" i="18"/>
  <c r="D36" i="18" s="1"/>
  <c r="E10" i="15"/>
  <c r="C25" i="17"/>
  <c r="J12" i="4"/>
  <c r="J15" i="4"/>
  <c r="K8" i="4"/>
  <c r="J16" i="4"/>
  <c r="T11" i="12"/>
  <c r="F139" i="20"/>
  <c r="G138" i="20" s="1"/>
  <c r="F47" i="13"/>
  <c r="AE43" i="7"/>
  <c r="C29" i="11"/>
  <c r="AB9" i="12"/>
  <c r="AB11" i="12" s="1"/>
  <c r="P11" i="12"/>
  <c r="F119" i="20"/>
  <c r="S11" i="12"/>
  <c r="I25" i="4"/>
  <c r="G14" i="14"/>
  <c r="AB17" i="12"/>
  <c r="F25" i="13" l="1"/>
  <c r="F21" i="11"/>
  <c r="G139" i="20"/>
  <c r="H138" i="20" s="1"/>
  <c r="G47" i="13"/>
  <c r="F30" i="15"/>
  <c r="D45" i="13"/>
  <c r="C30" i="11"/>
  <c r="K15" i="4"/>
  <c r="K16" i="4"/>
  <c r="L8" i="4"/>
  <c r="K12" i="4"/>
  <c r="C60" i="13"/>
  <c r="G117" i="20"/>
  <c r="F48" i="13"/>
  <c r="F28" i="9"/>
  <c r="E16" i="17"/>
  <c r="E24" i="17"/>
  <c r="H44" i="14"/>
  <c r="G23" i="14"/>
  <c r="E19" i="17"/>
  <c r="H59" i="14"/>
  <c r="E17" i="17"/>
  <c r="H43" i="14"/>
  <c r="E22" i="17"/>
  <c r="H56" i="14"/>
  <c r="H22" i="14"/>
  <c r="H23" i="14"/>
  <c r="E18" i="17"/>
  <c r="J23" i="4"/>
  <c r="J25" i="4" s="1"/>
  <c r="D25" i="17"/>
  <c r="F10" i="15"/>
  <c r="E25" i="17" s="1"/>
  <c r="E45" i="13"/>
  <c r="C59" i="13"/>
  <c r="G25" i="13" l="1"/>
  <c r="G21" i="11"/>
  <c r="M8" i="4"/>
  <c r="L12" i="4"/>
  <c r="L15" i="4"/>
  <c r="L16" i="4"/>
  <c r="K23" i="4"/>
  <c r="F45" i="13"/>
  <c r="H139" i="20"/>
  <c r="I138" i="20" s="1"/>
  <c r="H47" i="13"/>
  <c r="G119" i="20"/>
  <c r="K25" i="4"/>
  <c r="C31" i="11"/>
  <c r="H25" i="13" l="1"/>
  <c r="H21" i="11"/>
  <c r="M16" i="4"/>
  <c r="M12" i="4"/>
  <c r="M15" i="4"/>
  <c r="N8" i="4"/>
  <c r="C32" i="11"/>
  <c r="C33" i="11" s="1"/>
  <c r="D8" i="11" s="1"/>
  <c r="H117" i="20"/>
  <c r="G28" i="9"/>
  <c r="G48" i="13"/>
  <c r="L23" i="4"/>
  <c r="G45" i="13"/>
  <c r="I139" i="20"/>
  <c r="J138" i="20" s="1"/>
  <c r="I47" i="13"/>
  <c r="L25" i="4"/>
  <c r="H119" i="20" l="1"/>
  <c r="N12" i="4"/>
  <c r="N25" i="4" s="1"/>
  <c r="N16" i="4"/>
  <c r="N15" i="4"/>
  <c r="N23" i="4" s="1"/>
  <c r="O8" i="4"/>
  <c r="M23" i="4"/>
  <c r="M25" i="4" s="1"/>
  <c r="I21" i="11"/>
  <c r="I25" i="13"/>
  <c r="C34" i="11"/>
  <c r="D26" i="11" s="1"/>
  <c r="J139" i="20"/>
  <c r="K138" i="20" s="1"/>
  <c r="J47" i="13"/>
  <c r="H45" i="13"/>
  <c r="J21" i="11" l="1"/>
  <c r="J25" i="13"/>
  <c r="K139" i="20"/>
  <c r="L138" i="20" s="1"/>
  <c r="K47" i="13"/>
  <c r="K25" i="13"/>
  <c r="K21" i="11"/>
  <c r="O15" i="4"/>
  <c r="P8" i="4"/>
  <c r="O16" i="4"/>
  <c r="O12" i="4"/>
  <c r="D55" i="13"/>
  <c r="D35" i="9"/>
  <c r="D29" i="11"/>
  <c r="I117" i="20"/>
  <c r="I119" i="20" s="1"/>
  <c r="H48" i="13"/>
  <c r="H28" i="9"/>
  <c r="I45" i="13"/>
  <c r="D37" i="9" l="1"/>
  <c r="J117" i="20"/>
  <c r="J119" i="20" s="1"/>
  <c r="I48" i="13"/>
  <c r="I28" i="9"/>
  <c r="D57" i="13"/>
  <c r="D64" i="13"/>
  <c r="D65" i="13" s="1"/>
  <c r="K45" i="13"/>
  <c r="L139" i="20"/>
  <c r="M138" i="20" s="1"/>
  <c r="L47" i="13"/>
  <c r="D30" i="11"/>
  <c r="Q8" i="4"/>
  <c r="P16" i="4"/>
  <c r="P12" i="4"/>
  <c r="P15" i="4"/>
  <c r="P23" i="4" s="1"/>
  <c r="J45" i="13"/>
  <c r="O23" i="4"/>
  <c r="O25" i="4" s="1"/>
  <c r="L25" i="13" l="1"/>
  <c r="L21" i="11"/>
  <c r="M139" i="20"/>
  <c r="N138" i="20" s="1"/>
  <c r="M47" i="13"/>
  <c r="D58" i="13"/>
  <c r="K117" i="20"/>
  <c r="K119" i="20" s="1"/>
  <c r="J48" i="13"/>
  <c r="J28" i="9"/>
  <c r="D38" i="9"/>
  <c r="P25" i="4"/>
  <c r="D31" i="11"/>
  <c r="Q16" i="4"/>
  <c r="R16" i="4" s="1"/>
  <c r="C17" i="5" s="1"/>
  <c r="E17" i="5" s="1"/>
  <c r="G17" i="5" s="1"/>
  <c r="Q15" i="4"/>
  <c r="Q12" i="4"/>
  <c r="R8" i="4"/>
  <c r="D59" i="13"/>
  <c r="D32" i="11" l="1"/>
  <c r="M25" i="13"/>
  <c r="M21" i="11"/>
  <c r="Q23" i="4"/>
  <c r="Q25" i="4" s="1"/>
  <c r="R15" i="4"/>
  <c r="L117" i="20"/>
  <c r="L119" i="20" s="1"/>
  <c r="K48" i="13"/>
  <c r="K28" i="9"/>
  <c r="N139" i="20"/>
  <c r="C141" i="20" s="1"/>
  <c r="N47" i="13"/>
  <c r="O138" i="20"/>
  <c r="C46" i="14" s="1"/>
  <c r="D60" i="13"/>
  <c r="C20" i="18"/>
  <c r="D20" i="18" s="1"/>
  <c r="R12" i="4"/>
  <c r="C9" i="5"/>
  <c r="L45" i="13"/>
  <c r="N21" i="11" l="1"/>
  <c r="N25" i="13"/>
  <c r="O47" i="13"/>
  <c r="M117" i="20"/>
  <c r="M119" i="20" s="1"/>
  <c r="L48" i="13"/>
  <c r="L28" i="9"/>
  <c r="M45" i="13"/>
  <c r="C142" i="20"/>
  <c r="D141" i="20" s="1"/>
  <c r="D142" i="20" s="1"/>
  <c r="E141" i="20" s="1"/>
  <c r="E142" i="20" s="1"/>
  <c r="F141" i="20" s="1"/>
  <c r="F142" i="20" s="1"/>
  <c r="G141" i="20" s="1"/>
  <c r="G142" i="20" s="1"/>
  <c r="H141" i="20" s="1"/>
  <c r="H142" i="20" s="1"/>
  <c r="I141" i="20" s="1"/>
  <c r="I142" i="20" s="1"/>
  <c r="J141" i="20" s="1"/>
  <c r="J142" i="20" s="1"/>
  <c r="K141" i="20" s="1"/>
  <c r="K142" i="20" s="1"/>
  <c r="L141" i="20" s="1"/>
  <c r="L142" i="20" s="1"/>
  <c r="M141" i="20" s="1"/>
  <c r="M142" i="20" s="1"/>
  <c r="N141" i="20" s="1"/>
  <c r="N142" i="20" s="1"/>
  <c r="C144" i="20" s="1"/>
  <c r="R23" i="4"/>
  <c r="R25" i="4" s="1"/>
  <c r="C16" i="5"/>
  <c r="D34" i="11"/>
  <c r="E26" i="11" s="1"/>
  <c r="D33" i="11"/>
  <c r="E8" i="11" s="1"/>
  <c r="E9" i="5"/>
  <c r="C13" i="5"/>
  <c r="C13" i="16" l="1"/>
  <c r="C24" i="14"/>
  <c r="E16" i="5"/>
  <c r="C24" i="5"/>
  <c r="N117" i="20"/>
  <c r="M28" i="9"/>
  <c r="M48" i="13"/>
  <c r="C26" i="5"/>
  <c r="C145" i="20"/>
  <c r="D144" i="20" s="1"/>
  <c r="D145" i="20" s="1"/>
  <c r="E144" i="20" s="1"/>
  <c r="E145" i="20" s="1"/>
  <c r="F144" i="20" s="1"/>
  <c r="F145" i="20" s="1"/>
  <c r="G144" i="20" s="1"/>
  <c r="G145" i="20" s="1"/>
  <c r="H144" i="20" s="1"/>
  <c r="H145" i="20" s="1"/>
  <c r="I144" i="20" s="1"/>
  <c r="I145" i="20" s="1"/>
  <c r="J144" i="20" s="1"/>
  <c r="J145" i="20" s="1"/>
  <c r="K144" i="20" s="1"/>
  <c r="K145" i="20" s="1"/>
  <c r="L144" i="20" s="1"/>
  <c r="L145" i="20" s="1"/>
  <c r="M144" i="20" s="1"/>
  <c r="M145" i="20" s="1"/>
  <c r="N144" i="20" s="1"/>
  <c r="N145" i="20" s="1"/>
  <c r="N45" i="13"/>
  <c r="O25" i="13"/>
  <c r="E13" i="5"/>
  <c r="G9" i="5"/>
  <c r="G13" i="5" s="1"/>
  <c r="E35" i="9"/>
  <c r="E55" i="13"/>
  <c r="O141" i="20"/>
  <c r="E46" i="14" s="1"/>
  <c r="O21" i="11"/>
  <c r="B20" i="12" s="1"/>
  <c r="E57" i="13" l="1"/>
  <c r="E64" i="13"/>
  <c r="E65" i="13" s="1"/>
  <c r="N119" i="20"/>
  <c r="O117" i="20"/>
  <c r="G16" i="5"/>
  <c r="G24" i="5" s="1"/>
  <c r="E24" i="5"/>
  <c r="E26" i="5" s="1"/>
  <c r="E37" i="9"/>
  <c r="G26" i="5"/>
  <c r="O45" i="13"/>
  <c r="C44" i="14"/>
  <c r="O144" i="20"/>
  <c r="G46" i="14" s="1"/>
  <c r="E24" i="14" l="1"/>
  <c r="L20" i="12"/>
  <c r="H20" i="12"/>
  <c r="D20" i="12"/>
  <c r="K20" i="12"/>
  <c r="G20" i="12"/>
  <c r="C20" i="12"/>
  <c r="N20" i="12"/>
  <c r="F20" i="12"/>
  <c r="M20" i="12"/>
  <c r="E20" i="12"/>
  <c r="J20" i="12"/>
  <c r="I20" i="12"/>
  <c r="C121" i="20"/>
  <c r="N48" i="13"/>
  <c r="N28" i="9"/>
  <c r="O119" i="20"/>
  <c r="G24" i="14"/>
  <c r="X20" i="12"/>
  <c r="T20" i="12"/>
  <c r="P20" i="12"/>
  <c r="AA20" i="12"/>
  <c r="W20" i="12"/>
  <c r="S20" i="12"/>
  <c r="V20" i="12"/>
  <c r="U20" i="12"/>
  <c r="R20" i="12"/>
  <c r="Q20" i="12"/>
  <c r="Z20" i="12"/>
  <c r="Y20" i="12"/>
  <c r="E59" i="13"/>
  <c r="E38" i="9"/>
  <c r="E58" i="13"/>
  <c r="E60" i="13" l="1"/>
  <c r="O28" i="9"/>
  <c r="C26" i="10" s="1"/>
  <c r="O48" i="13"/>
  <c r="O20" i="12"/>
  <c r="G44" i="14"/>
  <c r="C123" i="20"/>
  <c r="E22" i="11"/>
  <c r="AB20" i="12"/>
  <c r="C47" i="14"/>
  <c r="D25" i="15"/>
  <c r="E44" i="14"/>
  <c r="E29" i="11" l="1"/>
  <c r="D121" i="20"/>
  <c r="D123" i="20" l="1"/>
  <c r="E30" i="11"/>
  <c r="E31" i="11" l="1"/>
  <c r="E121" i="20"/>
  <c r="E123" i="20" l="1"/>
  <c r="E32" i="11"/>
  <c r="E33" i="11"/>
  <c r="F8" i="11" s="1"/>
  <c r="E34" i="11" l="1"/>
  <c r="F26" i="11" s="1"/>
  <c r="F121" i="20"/>
  <c r="F123" i="20" l="1"/>
  <c r="F55" i="13"/>
  <c r="F35" i="9"/>
  <c r="F29" i="11"/>
  <c r="F57" i="13" l="1"/>
  <c r="F64" i="13"/>
  <c r="F65" i="13" s="1"/>
  <c r="F37" i="9"/>
  <c r="F30" i="11"/>
  <c r="G121" i="20"/>
  <c r="G123" i="20" l="1"/>
  <c r="F31" i="11"/>
  <c r="F59" i="13"/>
  <c r="F38" i="9"/>
  <c r="F58" i="13"/>
  <c r="F32" i="11" l="1"/>
  <c r="F33" i="11"/>
  <c r="G8" i="11" s="1"/>
  <c r="F60" i="13"/>
  <c r="H121" i="20"/>
  <c r="H123" i="20" s="1"/>
  <c r="I121" i="20" l="1"/>
  <c r="I123" i="20" s="1"/>
  <c r="F34" i="11"/>
  <c r="G26" i="11" s="1"/>
  <c r="G55" i="13" l="1"/>
  <c r="G35" i="9"/>
  <c r="G37" i="9" s="1"/>
  <c r="G29" i="11"/>
  <c r="J121" i="20"/>
  <c r="J123" i="20" s="1"/>
  <c r="G38" i="9" l="1"/>
  <c r="G30" i="11"/>
  <c r="K121" i="20"/>
  <c r="K123" i="20" s="1"/>
  <c r="G57" i="13"/>
  <c r="G58" i="13" s="1"/>
  <c r="G64" i="13"/>
  <c r="G65" i="13" s="1"/>
  <c r="G59" i="13" l="1"/>
  <c r="G31" i="11"/>
  <c r="L121" i="20"/>
  <c r="L123" i="20" s="1"/>
  <c r="M121" i="20" l="1"/>
  <c r="M123" i="20" s="1"/>
  <c r="G32" i="11"/>
  <c r="G60" i="13"/>
  <c r="G34" i="11" l="1"/>
  <c r="H26" i="11" s="1"/>
  <c r="G33" i="11"/>
  <c r="H8" i="11" s="1"/>
  <c r="N121" i="20"/>
  <c r="N123" i="20" l="1"/>
  <c r="O121" i="20"/>
  <c r="H55" i="13"/>
  <c r="H35" i="9"/>
  <c r="H37" i="9" s="1"/>
  <c r="H38" i="9" s="1"/>
  <c r="H64" i="13" l="1"/>
  <c r="H65" i="13" s="1"/>
  <c r="H57" i="13"/>
  <c r="H58" i="13" s="1"/>
  <c r="C125" i="20"/>
  <c r="O123" i="20"/>
  <c r="C127" i="20" l="1"/>
  <c r="E47" i="14"/>
  <c r="E26" i="10"/>
  <c r="E25" i="15"/>
  <c r="H59" i="13"/>
  <c r="H22" i="11" s="1"/>
  <c r="H29" i="11" l="1"/>
  <c r="H30" i="11" s="1"/>
  <c r="H31" i="11" s="1"/>
  <c r="H60" i="13"/>
  <c r="D125" i="20"/>
  <c r="H32" i="11" l="1"/>
  <c r="H34" i="11" s="1"/>
  <c r="I26" i="11" s="1"/>
  <c r="D127" i="20"/>
  <c r="E125" i="20" l="1"/>
  <c r="I55" i="13"/>
  <c r="I35" i="9"/>
  <c r="I37" i="9" s="1"/>
  <c r="I38" i="9" s="1"/>
  <c r="I29" i="11"/>
  <c r="I30" i="11" s="1"/>
  <c r="H33" i="11"/>
  <c r="I8" i="11" s="1"/>
  <c r="I31" i="11" s="1"/>
  <c r="I57" i="13" l="1"/>
  <c r="I58" i="13" s="1"/>
  <c r="I64" i="13"/>
  <c r="I65" i="13" s="1"/>
  <c r="I32" i="11"/>
  <c r="I34" i="11" s="1"/>
  <c r="J26" i="11" s="1"/>
  <c r="E127" i="20"/>
  <c r="I33" i="11" l="1"/>
  <c r="J8" i="11" s="1"/>
  <c r="I59" i="13"/>
  <c r="J55" i="13"/>
  <c r="J35" i="9"/>
  <c r="J37" i="9" s="1"/>
  <c r="J38" i="9" s="1"/>
  <c r="J29" i="11"/>
  <c r="J30" i="11" s="1"/>
  <c r="F125" i="20"/>
  <c r="J57" i="13" l="1"/>
  <c r="J58" i="13" s="1"/>
  <c r="J64" i="13"/>
  <c r="J65" i="13" s="1"/>
  <c r="F127" i="20"/>
  <c r="I60" i="13"/>
  <c r="J31" i="11"/>
  <c r="J32" i="11" l="1"/>
  <c r="J34" i="11" s="1"/>
  <c r="K26" i="11" s="1"/>
  <c r="J33" i="11"/>
  <c r="K8" i="11" s="1"/>
  <c r="G125" i="20"/>
  <c r="J59" i="13"/>
  <c r="J60" i="13"/>
  <c r="G127" i="20" l="1"/>
  <c r="K55" i="13"/>
  <c r="K35" i="9"/>
  <c r="K37" i="9" s="1"/>
  <c r="K38" i="9" s="1"/>
  <c r="K64" i="13" l="1"/>
  <c r="K65" i="13" s="1"/>
  <c r="K57" i="13"/>
  <c r="K58" i="13" s="1"/>
  <c r="H125" i="20"/>
  <c r="H127" i="20" s="1"/>
  <c r="I125" i="20" l="1"/>
  <c r="I127" i="20" s="1"/>
  <c r="K60" i="13"/>
  <c r="K59" i="13"/>
  <c r="K22" i="11" s="1"/>
  <c r="K29" i="11" l="1"/>
  <c r="K30" i="11" s="1"/>
  <c r="K31" i="11" s="1"/>
  <c r="J125" i="20"/>
  <c r="J127" i="20" s="1"/>
  <c r="K32" i="11" l="1"/>
  <c r="K34" i="11" s="1"/>
  <c r="L26" i="11" s="1"/>
  <c r="K125" i="20"/>
  <c r="K127" i="20" s="1"/>
  <c r="L55" i="13" l="1"/>
  <c r="L35" i="9"/>
  <c r="L37" i="9" s="1"/>
  <c r="L38" i="9" s="1"/>
  <c r="L29" i="11"/>
  <c r="L30" i="11" s="1"/>
  <c r="L125" i="20"/>
  <c r="L127" i="20" s="1"/>
  <c r="K33" i="11"/>
  <c r="L8" i="11" s="1"/>
  <c r="M125" i="20" l="1"/>
  <c r="M127" i="20" s="1"/>
  <c r="L31" i="11"/>
  <c r="L64" i="13"/>
  <c r="L65" i="13" s="1"/>
  <c r="L57" i="13"/>
  <c r="L58" i="13" s="1"/>
  <c r="L32" i="11" l="1"/>
  <c r="L34" i="11" s="1"/>
  <c r="M26" i="11" s="1"/>
  <c r="L59" i="13"/>
  <c r="N125" i="20"/>
  <c r="M55" i="13" l="1"/>
  <c r="M35" i="9"/>
  <c r="M37" i="9" s="1"/>
  <c r="M38" i="9" s="1"/>
  <c r="M29" i="11"/>
  <c r="M30" i="11" s="1"/>
  <c r="N127" i="20"/>
  <c r="O125" i="20"/>
  <c r="L60" i="13"/>
  <c r="L33" i="11"/>
  <c r="M8" i="11" s="1"/>
  <c r="M31" i="11" s="1"/>
  <c r="M32" i="11" l="1"/>
  <c r="M34" i="11" s="1"/>
  <c r="N26" i="11" s="1"/>
  <c r="M33" i="11"/>
  <c r="N8" i="11" s="1"/>
  <c r="O127" i="20"/>
  <c r="M64" i="13"/>
  <c r="M65" i="13" s="1"/>
  <c r="M57" i="13"/>
  <c r="M58" i="13" s="1"/>
  <c r="G47" i="14" l="1"/>
  <c r="G26" i="10"/>
  <c r="F25" i="15"/>
  <c r="M60" i="13"/>
  <c r="M59" i="13"/>
  <c r="N55" i="13"/>
  <c r="N35" i="9"/>
  <c r="O26" i="11"/>
  <c r="N57" i="13" l="1"/>
  <c r="N64" i="13"/>
  <c r="N65" i="13" s="1"/>
  <c r="N59" i="13" s="1"/>
  <c r="O59" i="13" s="1"/>
  <c r="C58" i="14" s="1"/>
  <c r="O55" i="13"/>
  <c r="N22" i="11"/>
  <c r="C54" i="14"/>
  <c r="C56" i="14" s="1"/>
  <c r="C57" i="14" s="1"/>
  <c r="C59" i="14" s="1"/>
  <c r="B25" i="12"/>
  <c r="C33" i="10"/>
  <c r="C35" i="10" s="1"/>
  <c r="C36" i="10" s="1"/>
  <c r="N37" i="9"/>
  <c r="O35" i="9"/>
  <c r="O22" i="11" l="1"/>
  <c r="B21" i="12" s="1"/>
  <c r="N29" i="11"/>
  <c r="D40" i="15"/>
  <c r="C23" i="18"/>
  <c r="D23" i="18" s="1"/>
  <c r="C21" i="18"/>
  <c r="D21" i="18" s="1"/>
  <c r="N38" i="9"/>
  <c r="O38" i="9" s="1"/>
  <c r="C14" i="16" s="1"/>
  <c r="C15" i="16" s="1"/>
  <c r="C18" i="16" s="1"/>
  <c r="O37" i="9"/>
  <c r="N58" i="13"/>
  <c r="O57" i="13"/>
  <c r="N60" i="13" l="1"/>
  <c r="O60" i="13" s="1"/>
  <c r="O58" i="13"/>
  <c r="D42" i="15"/>
  <c r="N30" i="11"/>
  <c r="O29" i="11"/>
  <c r="B28" i="12" s="1"/>
  <c r="C20" i="17" l="1"/>
  <c r="C12" i="17"/>
  <c r="C33" i="18" s="1"/>
  <c r="D33" i="18" s="1"/>
  <c r="O30" i="11"/>
  <c r="B29" i="12" s="1"/>
  <c r="N31" i="11"/>
  <c r="N32" i="11" l="1"/>
  <c r="N33" i="11"/>
  <c r="D9" i="15" l="1"/>
  <c r="D14" i="15" s="1"/>
  <c r="D26" i="15" s="1"/>
  <c r="C7" i="12"/>
  <c r="N34" i="11"/>
  <c r="O32" i="11"/>
  <c r="B31" i="12" l="1"/>
  <c r="C27" i="18"/>
  <c r="D36" i="15"/>
  <c r="D37" i="15" s="1"/>
  <c r="C25" i="12"/>
  <c r="C28" i="17"/>
  <c r="C21" i="17"/>
  <c r="C28" i="12" l="1"/>
  <c r="C29" i="12" s="1"/>
  <c r="C30" i="12" s="1"/>
  <c r="C63" i="14"/>
  <c r="C28" i="18"/>
  <c r="D28" i="18" s="1"/>
  <c r="D27" i="18"/>
  <c r="C9" i="17"/>
  <c r="C10" i="17"/>
  <c r="D43" i="15"/>
  <c r="D45" i="15" s="1"/>
  <c r="C13" i="17"/>
  <c r="C16" i="18" s="1"/>
  <c r="D16" i="18" s="1"/>
  <c r="C64" i="14" l="1"/>
  <c r="C31" i="12"/>
  <c r="C32" i="12" s="1"/>
  <c r="D7" i="12" s="1"/>
  <c r="C32" i="18"/>
  <c r="D32" i="18" s="1"/>
  <c r="D46" i="15"/>
  <c r="C65" i="14" l="1"/>
  <c r="C33" i="12"/>
  <c r="D25" i="12" s="1"/>
  <c r="D28" i="12" l="1"/>
  <c r="D29" i="12" s="1"/>
  <c r="D30" i="12" s="1"/>
  <c r="D63" i="14"/>
  <c r="D64" i="14" l="1"/>
  <c r="D31" i="12"/>
  <c r="D32" i="12" s="1"/>
  <c r="E7" i="12" s="1"/>
  <c r="D33" i="12" l="1"/>
  <c r="E25" i="12" s="1"/>
  <c r="D65" i="14"/>
  <c r="E63" i="14" l="1"/>
  <c r="E64" i="14" l="1"/>
  <c r="E65" i="14" l="1"/>
  <c r="E21" i="12" l="1"/>
  <c r="E28" i="12" s="1"/>
  <c r="E29" i="12" s="1"/>
  <c r="E30" i="12" s="1"/>
  <c r="E31" i="12" l="1"/>
  <c r="E32" i="12"/>
  <c r="F7" i="12" s="1"/>
  <c r="E33" i="12" l="1"/>
  <c r="F25" i="12" s="1"/>
  <c r="F28" i="12" l="1"/>
  <c r="F29" i="12" s="1"/>
  <c r="F30" i="12" s="1"/>
  <c r="F63" i="14"/>
  <c r="F64" i="14" l="1"/>
  <c r="F31" i="12"/>
  <c r="F33" i="12" l="1"/>
  <c r="G25" i="12" s="1"/>
  <c r="F32" i="12"/>
  <c r="G7" i="12" s="1"/>
  <c r="F65" i="14"/>
  <c r="G28" i="12" l="1"/>
  <c r="G29" i="12" s="1"/>
  <c r="G30" i="12" s="1"/>
  <c r="G63" i="14"/>
  <c r="G31" i="12" l="1"/>
  <c r="G64" i="14"/>
  <c r="G65" i="14" l="1"/>
  <c r="G33" i="12"/>
  <c r="H25" i="12" s="1"/>
  <c r="G32" i="12"/>
  <c r="H7" i="12" s="1"/>
  <c r="H63" i="14" l="1"/>
  <c r="H64" i="14" s="1"/>
  <c r="H65" i="14" s="1"/>
  <c r="H21" i="12" s="1"/>
  <c r="H28" i="12" s="1"/>
  <c r="H29" i="12" s="1"/>
  <c r="H30" i="12" s="1"/>
  <c r="H31" i="12" l="1"/>
  <c r="H33" i="12" s="1"/>
  <c r="I25" i="12" s="1"/>
  <c r="I28" i="12" l="1"/>
  <c r="I29" i="12" s="1"/>
  <c r="I63" i="14"/>
  <c r="I64" i="14" s="1"/>
  <c r="I65" i="14" s="1"/>
  <c r="H32" i="12"/>
  <c r="I7" i="12" s="1"/>
  <c r="I30" i="12" s="1"/>
  <c r="I31" i="12" l="1"/>
  <c r="I33" i="12" s="1"/>
  <c r="J25" i="12" s="1"/>
  <c r="I32" i="12"/>
  <c r="J7" i="12" s="1"/>
  <c r="J28" i="12" l="1"/>
  <c r="J29" i="12" s="1"/>
  <c r="J30" i="12" s="1"/>
  <c r="J63" i="14"/>
  <c r="J64" i="14" s="1"/>
  <c r="J65" i="14" s="1"/>
  <c r="J31" i="12" l="1"/>
  <c r="J33" i="12" s="1"/>
  <c r="K25" i="12" s="1"/>
  <c r="J32" i="12"/>
  <c r="K7" i="12" s="1"/>
  <c r="K63" i="14" l="1"/>
  <c r="K64" i="14" s="1"/>
  <c r="K65" i="14" s="1"/>
  <c r="K21" i="12" s="1"/>
  <c r="K28" i="12" s="1"/>
  <c r="K29" i="12" s="1"/>
  <c r="K30" i="12" s="1"/>
  <c r="K31" i="12" l="1"/>
  <c r="K33" i="12" s="1"/>
  <c r="L25" i="12" s="1"/>
  <c r="L28" i="12" l="1"/>
  <c r="L29" i="12" s="1"/>
  <c r="L63" i="14"/>
  <c r="L64" i="14" s="1"/>
  <c r="L65" i="14" s="1"/>
  <c r="K32" i="12"/>
  <c r="L7" i="12" s="1"/>
  <c r="L30" i="12" s="1"/>
  <c r="L31" i="12" l="1"/>
  <c r="L33" i="12" s="1"/>
  <c r="M25" i="12" s="1"/>
  <c r="M28" i="12" l="1"/>
  <c r="M29" i="12" s="1"/>
  <c r="M63" i="14"/>
  <c r="M64" i="14" s="1"/>
  <c r="M65" i="14" s="1"/>
  <c r="L32" i="12"/>
  <c r="M7" i="12" s="1"/>
  <c r="M30" i="12" s="1"/>
  <c r="M31" i="12" l="1"/>
  <c r="M33" i="12" s="1"/>
  <c r="N25" i="12" s="1"/>
  <c r="M32" i="12" l="1"/>
  <c r="N7" i="12" s="1"/>
  <c r="N63" i="14"/>
  <c r="O25" i="12"/>
  <c r="N64" i="14" l="1"/>
  <c r="O63" i="14"/>
  <c r="E54" i="14"/>
  <c r="E56" i="14" s="1"/>
  <c r="E57" i="14" s="1"/>
  <c r="E33" i="10"/>
  <c r="E35" i="10" s="1"/>
  <c r="E36" i="10" s="1"/>
  <c r="O28" i="12"/>
  <c r="O29" i="12" s="1"/>
  <c r="N65" i="14" l="1"/>
  <c r="O64" i="14"/>
  <c r="O65" i="14" l="1"/>
  <c r="E58" i="14" s="1"/>
  <c r="E59" i="14" s="1"/>
  <c r="E40" i="15" s="1"/>
  <c r="N21" i="12"/>
  <c r="N28" i="12" s="1"/>
  <c r="N29" i="12" s="1"/>
  <c r="N30" i="12" s="1"/>
  <c r="N31" i="12" l="1"/>
  <c r="N32" i="12" s="1"/>
  <c r="E42" i="15"/>
  <c r="E9" i="15" l="1"/>
  <c r="E14" i="15" s="1"/>
  <c r="E26" i="15" s="1"/>
  <c r="P7" i="12"/>
  <c r="D20" i="17"/>
  <c r="D12" i="17"/>
  <c r="N33" i="12"/>
  <c r="O31" i="12"/>
  <c r="E36" i="15" l="1"/>
  <c r="E37" i="15" s="1"/>
  <c r="P25" i="12"/>
  <c r="D28" i="17"/>
  <c r="D21" i="17"/>
  <c r="P28" i="12" l="1"/>
  <c r="C67" i="14"/>
  <c r="D10" i="17"/>
  <c r="D13" i="17"/>
  <c r="E43" i="15"/>
  <c r="E45" i="15" s="1"/>
  <c r="E46" i="15" s="1"/>
  <c r="D9" i="17"/>
  <c r="C68" i="14" l="1"/>
  <c r="P29" i="12"/>
  <c r="P30" i="12" l="1"/>
  <c r="C69" i="14"/>
  <c r="P31" i="12" l="1"/>
  <c r="P33" i="12" l="1"/>
  <c r="Q25" i="12" s="1"/>
  <c r="P32" i="12"/>
  <c r="Q7" i="12" s="1"/>
  <c r="Q28" i="12" l="1"/>
  <c r="D67" i="14"/>
  <c r="D68" i="14" l="1"/>
  <c r="Q29" i="12"/>
  <c r="Q30" i="12" l="1"/>
  <c r="D69" i="14"/>
  <c r="Q31" i="12" l="1"/>
  <c r="Q32" i="12" s="1"/>
  <c r="R7" i="12" s="1"/>
  <c r="Q33" i="12" l="1"/>
  <c r="R25" i="12" s="1"/>
  <c r="E67" i="14" l="1"/>
  <c r="E68" i="14" l="1"/>
  <c r="E69" i="14" l="1"/>
  <c r="R21" i="12" l="1"/>
  <c r="R28" i="12" l="1"/>
  <c r="R29" i="12" l="1"/>
  <c r="R30" i="12" l="1"/>
  <c r="R31" i="12" l="1"/>
  <c r="R32" i="12" s="1"/>
  <c r="S7" i="12" s="1"/>
  <c r="R33" i="12" l="1"/>
  <c r="S25" i="12" s="1"/>
  <c r="S28" i="12" l="1"/>
  <c r="F67" i="14"/>
  <c r="F68" i="14" l="1"/>
  <c r="S29" i="12"/>
  <c r="S30" i="12" l="1"/>
  <c r="F69" i="14"/>
  <c r="S31" i="12" l="1"/>
  <c r="S33" i="12" l="1"/>
  <c r="T25" i="12" s="1"/>
  <c r="S32" i="12"/>
  <c r="T7" i="12" s="1"/>
  <c r="T28" i="12" l="1"/>
  <c r="G67" i="14"/>
  <c r="G68" i="14" l="1"/>
  <c r="T29" i="12"/>
  <c r="T30" i="12" l="1"/>
  <c r="G69" i="14"/>
  <c r="T31" i="12" l="1"/>
  <c r="T33" i="12" l="1"/>
  <c r="U25" i="12" s="1"/>
  <c r="T32" i="12"/>
  <c r="U7" i="12" s="1"/>
  <c r="H67" i="14" l="1"/>
  <c r="H68" i="14" s="1"/>
  <c r="H69" i="14" s="1"/>
  <c r="U21" i="12" s="1"/>
  <c r="U28" i="12" l="1"/>
  <c r="U29" i="12" s="1"/>
  <c r="U30" i="12" s="1"/>
  <c r="U31" i="12" l="1"/>
  <c r="U33" i="12" s="1"/>
  <c r="V25" i="12" s="1"/>
  <c r="V28" i="12" l="1"/>
  <c r="V29" i="12" s="1"/>
  <c r="I67" i="14"/>
  <c r="I68" i="14" s="1"/>
  <c r="I69" i="14" s="1"/>
  <c r="U32" i="12"/>
  <c r="V7" i="12" s="1"/>
  <c r="V30" i="12" s="1"/>
  <c r="V31" i="12" l="1"/>
  <c r="V33" i="12" s="1"/>
  <c r="W25" i="12" s="1"/>
  <c r="V32" i="12" l="1"/>
  <c r="W7" i="12" s="1"/>
  <c r="W28" i="12"/>
  <c r="W29" i="12" s="1"/>
  <c r="J67" i="14"/>
  <c r="J68" i="14" s="1"/>
  <c r="J69" i="14" s="1"/>
  <c r="W30" i="12" l="1"/>
  <c r="W31" i="12" l="1"/>
  <c r="W33" i="12" s="1"/>
  <c r="X25" i="12" s="1"/>
  <c r="W32" i="12" l="1"/>
  <c r="X7" i="12" s="1"/>
  <c r="K67" i="14"/>
  <c r="K68" i="14" s="1"/>
  <c r="K69" i="14" s="1"/>
  <c r="X21" i="12" s="1"/>
  <c r="X28" i="12" l="1"/>
  <c r="X29" i="12" s="1"/>
  <c r="X30" i="12"/>
  <c r="X32" i="12" l="1"/>
  <c r="Y7" i="12" s="1"/>
  <c r="X31" i="12"/>
  <c r="X33" i="12" s="1"/>
  <c r="Y25" i="12" s="1"/>
  <c r="Y28" i="12" l="1"/>
  <c r="Y29" i="12" s="1"/>
  <c r="L67" i="14"/>
  <c r="L68" i="14" s="1"/>
  <c r="L69" i="14" s="1"/>
  <c r="Y30" i="12"/>
  <c r="Y31" i="12" l="1"/>
  <c r="Y33" i="12" s="1"/>
  <c r="Z25" i="12" s="1"/>
  <c r="Z28" i="12" l="1"/>
  <c r="Z29" i="12" s="1"/>
  <c r="M67" i="14"/>
  <c r="M68" i="14" s="1"/>
  <c r="M69" i="14" s="1"/>
  <c r="Y32" i="12"/>
  <c r="Z7" i="12" s="1"/>
  <c r="Z30" i="12" l="1"/>
  <c r="Z31" i="12" l="1"/>
  <c r="Z33" i="12" s="1"/>
  <c r="AA25" i="12" s="1"/>
  <c r="Z32" i="12" l="1"/>
  <c r="AA7" i="12" s="1"/>
  <c r="N67" i="14"/>
  <c r="AB25" i="12"/>
  <c r="G54" i="14" l="1"/>
  <c r="G56" i="14" s="1"/>
  <c r="G57" i="14" s="1"/>
  <c r="G33" i="10"/>
  <c r="G35" i="10" s="1"/>
  <c r="G36" i="10" s="1"/>
  <c r="N68" i="14"/>
  <c r="O67" i="14"/>
  <c r="N69" i="14" l="1"/>
  <c r="O68" i="14"/>
  <c r="O69" i="14" l="1"/>
  <c r="G58" i="14" s="1"/>
  <c r="G59" i="14" s="1"/>
  <c r="F40" i="15" s="1"/>
  <c r="F42" i="15" s="1"/>
  <c r="AA21" i="12"/>
  <c r="AB21" i="12" l="1"/>
  <c r="AA28" i="12"/>
  <c r="E20" i="17"/>
  <c r="E12" i="17"/>
  <c r="AA29" i="12" l="1"/>
  <c r="AB28" i="12"/>
  <c r="AB29" i="12" l="1"/>
  <c r="AA30" i="12"/>
  <c r="AA31" i="12" l="1"/>
  <c r="AA33" i="12" l="1"/>
  <c r="F36" i="15" s="1"/>
  <c r="F37" i="15" s="1"/>
  <c r="AB31" i="12"/>
  <c r="AA32" i="12"/>
  <c r="F9" i="15" s="1"/>
  <c r="F14" i="15" s="1"/>
  <c r="F26" i="15" s="1"/>
  <c r="E21" i="17" l="1"/>
  <c r="E28" i="17"/>
  <c r="E10" i="17"/>
  <c r="E13" i="17"/>
  <c r="E9" i="17"/>
  <c r="F43" i="15"/>
  <c r="F45" i="15" s="1"/>
  <c r="F46" i="15" s="1"/>
</calcChain>
</file>

<file path=xl/comments1.xml><?xml version="1.0" encoding="utf-8"?>
<comments xmlns="http://schemas.openxmlformats.org/spreadsheetml/2006/main">
  <authors>
    <author>Author</author>
  </authors>
  <commentList>
    <comment ref="D7" authorId="0" shapeId="0">
      <text>
        <r>
          <rPr>
            <sz val="11"/>
            <color indexed="81"/>
            <rFont val="Gill Sans MT"/>
            <family val="2"/>
          </rPr>
          <t xml:space="preserve">Years of depreciation must be 3 or more for the calculations in this workbook to work correctly. </t>
        </r>
        <r>
          <rPr>
            <sz val="9"/>
            <color indexed="81"/>
            <rFont val="Tahoma"/>
            <family val="2"/>
          </rPr>
          <t xml:space="preserve">
</t>
        </r>
      </text>
    </comment>
    <comment ref="B29" authorId="0" shapeId="0">
      <text>
        <r>
          <rPr>
            <sz val="11"/>
            <color indexed="81"/>
            <rFont val="Gill Sans MT"/>
            <family val="2"/>
          </rPr>
          <t xml:space="preserve">Existing businesses should use the calculator at the bottom of this page to determine the Working Capital amount. Calculate the number, then enter it here. </t>
        </r>
        <r>
          <rPr>
            <sz val="9"/>
            <color indexed="81"/>
            <rFont val="Tahoma"/>
            <family val="2"/>
          </rPr>
          <t xml:space="preserve">
</t>
        </r>
      </text>
    </comment>
  </commentList>
</comments>
</file>

<file path=xl/comments2.xml><?xml version="1.0" encoding="utf-8"?>
<comments xmlns="http://schemas.openxmlformats.org/spreadsheetml/2006/main">
  <authors>
    <author>Author</author>
  </authors>
  <commentList>
    <comment ref="F8" authorId="0" shapeId="0">
      <text>
        <r>
          <rPr>
            <sz val="10"/>
            <color indexed="81"/>
            <rFont val="Gill Sans MT"/>
            <family val="2"/>
          </rPr>
          <t xml:space="preserve">These cells have been auto-populated, but can be overwritten if your payroll expenses increase over time. To restore the auto-population, enter this formula in the cell: =F[insert row number]. For example, the first row in this section would use: =F8. </t>
        </r>
        <r>
          <rPr>
            <sz val="9"/>
            <color indexed="81"/>
            <rFont val="Tahoma"/>
            <family val="2"/>
          </rPr>
          <t xml:space="preserve">
</t>
        </r>
      </text>
    </comment>
    <comment ref="B14" authorId="0" shapeId="0">
      <text>
        <r>
          <rPr>
            <sz val="11"/>
            <color indexed="81"/>
            <rFont val="Gill Sans MT"/>
            <family val="2"/>
          </rPr>
          <t xml:space="preserve">The Wage Base limit is the maximum earned gross income on which a given tax may be imposed. If you are paying a salary above that amount, you'll need to factor that into your calculation. The amounts below are for 2012.
</t>
        </r>
        <r>
          <rPr>
            <sz val="9"/>
            <color indexed="81"/>
            <rFont val="Tahoma"/>
            <family val="2"/>
          </rPr>
          <t xml:space="preserve">
</t>
        </r>
      </text>
    </comment>
    <comment ref="C17" authorId="0" shapeId="0">
      <text>
        <r>
          <rPr>
            <sz val="9"/>
            <color indexed="81"/>
            <rFont val="Tahoma"/>
            <family val="2"/>
          </rPr>
          <t xml:space="preserve">The Federal Unemployment tax rate was 6.2% from January 1, 2011 through June 30, 2011; and decreased to 6.0% as of July 1, 2011. It is currently still set at that rate, less a maximum credit of 5.4% for amounts paid under State unemployment 
insurance laws.  Accordingly, the normal net FUTA tax is 0.6%. This information is as-of November 2012. Check with the IRS for current information. 
</t>
        </r>
      </text>
    </comment>
    <comment ref="E19" authorId="0" shapeId="0">
      <text>
        <r>
          <rPr>
            <b/>
            <sz val="11"/>
            <color indexed="81"/>
            <rFont val="Gill Sans MT"/>
            <family val="2"/>
          </rPr>
          <t xml:space="preserve">
For these benefits, the formula assumes part-time employees are included. If this is not the case, change the formula accordingly.</t>
        </r>
      </text>
    </comment>
    <comment ref="E20" authorId="0" shapeId="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1" authorId="0" shapeId="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2" authorId="0" shapeId="0">
      <text>
        <r>
          <rPr>
            <sz val="11"/>
            <color indexed="81"/>
            <rFont val="Gill Sans MT"/>
            <family val="2"/>
          </rPr>
          <t xml:space="preserve">
</t>
        </r>
        <r>
          <rPr>
            <b/>
            <sz val="11"/>
            <color indexed="81"/>
            <rFont val="Gill Sans MT"/>
            <family val="2"/>
          </rPr>
          <t>For these benefits, the formula assumes part-time employees are included. If this is not the case, change the formula accordingly.</t>
        </r>
        <r>
          <rPr>
            <sz val="9"/>
            <color indexed="81"/>
            <rFont val="Tahoma"/>
            <family val="2"/>
          </rPr>
          <t xml:space="preserve">
</t>
        </r>
      </text>
    </comment>
  </commentList>
</comments>
</file>

<file path=xl/comments3.xml><?xml version="1.0" encoding="utf-8"?>
<comments xmlns="http://schemas.openxmlformats.org/spreadsheetml/2006/main">
  <authors>
    <author>Author</author>
  </authors>
  <commentList>
    <comment ref="C8" authorId="0" shapeId="0">
      <text>
        <r>
          <rPr>
            <b/>
            <sz val="14"/>
            <color indexed="81"/>
            <rFont val="Gill Sans MT"/>
            <family val="2"/>
          </rPr>
          <t>TIP: Enter these in the plural form! Ex. projects, dresses, bikes, etc.</t>
        </r>
        <r>
          <rPr>
            <sz val="9"/>
            <color indexed="81"/>
            <rFont val="Tahoma"/>
            <family val="2"/>
          </rPr>
          <t xml:space="preserve">
</t>
        </r>
      </text>
    </comment>
    <comment ref="E8" authorId="0" shapeId="0">
      <text>
        <r>
          <rPr>
            <b/>
            <sz val="11"/>
            <color indexed="81"/>
            <rFont val="Gill Sans MT"/>
            <family val="2"/>
          </rPr>
          <t>TIP: Click here to access a calculator that can help you determine your COGS per unit.</t>
        </r>
        <r>
          <rPr>
            <sz val="9"/>
            <color indexed="81"/>
            <rFont val="Tahoma"/>
            <family val="2"/>
          </rPr>
          <t xml:space="preserve">
</t>
        </r>
      </text>
    </comment>
  </commentList>
</comments>
</file>

<file path=xl/comments4.xml><?xml version="1.0" encoding="utf-8"?>
<comments xmlns="http://schemas.openxmlformats.org/spreadsheetml/2006/main">
  <authors>
    <author>Author</author>
  </authors>
  <commentList>
    <comment ref="B9" authorId="0" shapeId="0">
      <text>
        <r>
          <rPr>
            <sz val="9"/>
            <color indexed="81"/>
            <rFont val="Tahoma"/>
            <family val="2"/>
          </rPr>
          <t xml:space="preserve">
</t>
        </r>
        <r>
          <rPr>
            <b/>
            <sz val="11"/>
            <color indexed="81"/>
            <rFont val="Gill Sans MT"/>
            <family val="2"/>
          </rPr>
          <t xml:space="preserve">If you are a retail business or don't have accounts receivable put 100% for each year. </t>
        </r>
      </text>
    </comment>
    <comment ref="B10" authorId="0" shapeId="0">
      <text>
        <r>
          <rPr>
            <sz val="9"/>
            <color indexed="81"/>
            <rFont val="Tahoma"/>
            <family val="2"/>
          </rPr>
          <t xml:space="preserve">
</t>
        </r>
        <r>
          <rPr>
            <b/>
            <sz val="11"/>
            <color indexed="81"/>
            <rFont val="Gill Sans MT"/>
            <family val="2"/>
          </rPr>
          <t>In this field put the percentage of your sales that you expect to carry as A/R. If your business sells in cash, put 0%. Otherwise, estimate the percentage that will be paid between 30 and 60 days after sale.</t>
        </r>
      </text>
    </comment>
    <comment ref="B11" authorId="0" shapeId="0">
      <text>
        <r>
          <rPr>
            <sz val="9"/>
            <color indexed="81"/>
            <rFont val="Tahoma"/>
            <family val="2"/>
          </rPr>
          <t xml:space="preserve">
</t>
        </r>
        <r>
          <rPr>
            <b/>
            <sz val="11"/>
            <color indexed="81"/>
            <rFont val="Arial Black"/>
            <family val="2"/>
          </rPr>
          <t>In this field put the percentage of your sales that you expect to carry as A/R but not paid for more than 60 days. If your business sells in cash, put 0%. Otherwise, estimate the percentage that will be paid more than 60 days after sale.</t>
        </r>
      </text>
    </comment>
    <comment ref="B12" authorId="0" shapeId="0">
      <text>
        <r>
          <rPr>
            <b/>
            <sz val="11"/>
            <color indexed="81"/>
            <rFont val="Gill Sans MT"/>
            <family val="2"/>
          </rPr>
          <t xml:space="preserve">
Allowance for bad debt is the percentage of total A/R you believe will not be collectable for whatever reason. It could be because your customer becomes insolvent or goes out of business. 
If you can find an industry average for your industry, use that percentage. If in doubt, use either 0 or 1%. Many businesses that have good collection processes may have substantially less than 1% during a strong economy. Bankers like to see a figure here because it lets them know you are realistic about discounting the total value of your A/R as collateral for a potential loan. </t>
        </r>
      </text>
    </comment>
    <comment ref="D24" authorId="0" shapeId="0">
      <text>
        <r>
          <rPr>
            <b/>
            <sz val="9"/>
            <color indexed="81"/>
            <rFont val="Tahoma"/>
            <family val="2"/>
          </rPr>
          <t xml:space="preserve">How low do you want to let your ending cash balance to get? The minimum should be $0, but you might want to choose $1000, $5000, etc. </t>
        </r>
        <r>
          <rPr>
            <sz val="9"/>
            <color indexed="81"/>
            <rFont val="Tahoma"/>
            <family val="2"/>
          </rPr>
          <t xml:space="preserve">
</t>
        </r>
      </text>
    </comment>
    <comment ref="B27" authorId="0" shapeId="0">
      <text>
        <r>
          <rPr>
            <b/>
            <sz val="9"/>
            <color indexed="81"/>
            <rFont val="Tahoma"/>
            <family val="2"/>
          </rPr>
          <t xml:space="preserve">
</t>
        </r>
        <r>
          <rPr>
            <b/>
            <sz val="11"/>
            <color indexed="81"/>
            <rFont val="Gill Sans MT"/>
            <family val="2"/>
          </rPr>
          <t>Use this space to add items purchased after the date of the starting point (Tab 1a).</t>
        </r>
      </text>
    </comment>
  </commentList>
</comments>
</file>

<file path=xl/comments5.xml><?xml version="1.0" encoding="utf-8"?>
<comments xmlns="http://schemas.openxmlformats.org/spreadsheetml/2006/main">
  <authors>
    <author>Author</author>
  </authors>
  <commentList>
    <comment ref="B22" authorId="0" shapeId="0">
      <text>
        <r>
          <rPr>
            <sz val="11"/>
            <color indexed="81"/>
            <rFont val="Gill Sans MT"/>
            <family val="2"/>
          </rPr>
          <t xml:space="preserve">This line allows you to approximate the personal income tax of the owner(s). This is the tax on the profit for the business.  </t>
        </r>
        <r>
          <rPr>
            <sz val="9"/>
            <color indexed="81"/>
            <rFont val="Tahoma"/>
            <family val="2"/>
          </rPr>
          <t xml:space="preserve">
</t>
        </r>
      </text>
    </comment>
    <comment ref="B25" authorId="0" shapeId="0">
      <text>
        <r>
          <rPr>
            <b/>
            <sz val="9"/>
            <color indexed="81"/>
            <rFont val="Tahoma"/>
            <charset val="1"/>
          </rPr>
          <t>Only record owner's draws above those already listed on the payroll tabs.</t>
        </r>
        <r>
          <rPr>
            <sz val="9"/>
            <color indexed="81"/>
            <rFont val="Tahoma"/>
            <charset val="1"/>
          </rPr>
          <t xml:space="preserve">
</t>
        </r>
      </text>
    </comment>
  </commentList>
</comments>
</file>

<file path=xl/comments6.xml><?xml version="1.0" encoding="utf-8"?>
<comments xmlns="http://schemas.openxmlformats.org/spreadsheetml/2006/main">
  <authors>
    <author>Author</author>
  </authors>
  <commentList>
    <comment ref="A24" authorId="0" shapeId="0">
      <text>
        <r>
          <rPr>
            <b/>
            <sz val="9"/>
            <color indexed="81"/>
            <rFont val="Tahoma"/>
            <charset val="1"/>
          </rPr>
          <t xml:space="preserve">Only record owner's draws above those already listed on the payroll tabs.
</t>
        </r>
      </text>
    </comment>
  </commentList>
</comments>
</file>

<file path=xl/comments7.xml><?xml version="1.0" encoding="utf-8"?>
<comments xmlns="http://schemas.openxmlformats.org/spreadsheetml/2006/main">
  <authors>
    <author>Author</author>
  </authors>
  <commentList>
    <comment ref="B45" authorId="0" shapeId="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8.xml><?xml version="1.0" encoding="utf-8"?>
<comments xmlns="http://schemas.openxmlformats.org/spreadsheetml/2006/main">
  <authors>
    <author>Author</author>
  </authors>
  <commentList>
    <comment ref="B44" authorId="0" shapeId="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9.xml><?xml version="1.0" encoding="utf-8"?>
<comments xmlns="http://schemas.openxmlformats.org/spreadsheetml/2006/main">
  <authors>
    <author>Author</author>
  </authors>
  <commentList>
    <comment ref="F7" authorId="0" shapeId="0">
      <text>
        <r>
          <rPr>
            <sz val="11"/>
            <color indexed="81"/>
            <rFont val="Gill Sans MT"/>
            <family val="2"/>
          </rPr>
          <t xml:space="preserve">
With some research, you can find industry norms for each ratio. The Risk Management Association provides Annual Statement Studies with this information, for a fee. Visit your local library to see if they have a free copy you can use. You can also refer to trade magazines or other sources of industry data, such as www.bizstats.com or  http://biz.yahoo.com/p/industries.html. You may need to use a mix of sources, as one source may not provide all of the data. Speak with your mentor to ensure that the industry norms you are using are relevant to your business. 
Leave this column blank if you do not have the industry information. 
</t>
        </r>
      </text>
    </comment>
    <comment ref="C9" authorId="0" shapeId="0">
      <text>
        <r>
          <rPr>
            <b/>
            <sz val="8"/>
            <color indexed="81"/>
            <rFont val="Tahoma"/>
            <family val="2"/>
          </rPr>
          <t>An indication of a company's ability to meet short-term debt obligations.</t>
        </r>
      </text>
    </comment>
    <comment ref="C10" authorId="0" shapeId="0">
      <text>
        <r>
          <rPr>
            <b/>
            <sz val="8"/>
            <color indexed="81"/>
            <rFont val="Tahoma"/>
            <family val="2"/>
          </rPr>
          <t>The ratio between all assets quickly convertible into cash and current liabilities. Measures a company's liquidity. Also called acid-test ratio.</t>
        </r>
      </text>
    </comment>
    <comment ref="C12" authorId="0" shapeId="0">
      <text>
        <r>
          <rPr>
            <b/>
            <sz val="8"/>
            <color indexed="81"/>
            <rFont val="Tahoma"/>
            <family val="2"/>
          </rPr>
          <t>This ratio expresses the relationship between capital contributed by creditors and that contributed by owners.</t>
        </r>
      </text>
    </comment>
    <comment ref="C13" authorId="0" shapeId="0">
      <text>
        <r>
          <rPr>
            <b/>
            <sz val="8"/>
            <color indexed="81"/>
            <rFont val="Tahoma"/>
            <family val="2"/>
          </rPr>
          <t>This ratio indicates how well your cash flow covers debt and the capability of the business to take on additional debt.</t>
        </r>
      </text>
    </comment>
    <comment ref="C15" authorId="0" shapeId="0">
      <text>
        <r>
          <rPr>
            <b/>
            <sz val="8"/>
            <color indexed="81"/>
            <rFont val="Tahoma"/>
            <family val="2"/>
          </rPr>
          <t>This ratio calculates the percentage of increase (or decrease) in sales between the current year and the previous year.</t>
        </r>
      </text>
    </comment>
    <comment ref="C16" authorId="0" shapeId="0">
      <text>
        <r>
          <rPr>
            <b/>
            <sz val="8"/>
            <color indexed="81"/>
            <rFont val="Tahoma"/>
            <family val="2"/>
          </rPr>
          <t>The percentage of sales used to pay for the COGS (expenses which directly vary with sales) is expressed in this ratio.</t>
        </r>
      </text>
    </comment>
    <comment ref="C17" authorId="0" shapeId="0">
      <text>
        <r>
          <rPr>
            <b/>
            <sz val="8"/>
            <color indexed="81"/>
            <rFont val="Tahoma"/>
            <family val="2"/>
          </rPr>
          <t>This ratio indicates how much profit is earned on your products without consideration of indirect costs, selling and administration costs.</t>
        </r>
      </text>
    </comment>
    <comment ref="C18" authorId="0" shapeId="0">
      <text>
        <r>
          <rPr>
            <b/>
            <sz val="8"/>
            <color indexed="81"/>
            <rFont val="Tahoma"/>
            <family val="2"/>
          </rPr>
          <t>This ratio measures the percentage of selling, general and administrative costs to your amount of sales.</t>
        </r>
      </text>
    </comment>
    <comment ref="C19" authorId="0" shapeId="0">
      <text>
        <r>
          <rPr>
            <b/>
            <sz val="8"/>
            <color indexed="81"/>
            <rFont val="Tahoma"/>
            <family val="2"/>
          </rPr>
          <t>Net profit margin shows how much profit comes from every dollar of sales.</t>
        </r>
      </text>
    </comment>
    <comment ref="C20" authorId="0" shapeId="0">
      <text>
        <r>
          <rPr>
            <b/>
            <sz val="8"/>
            <color indexed="81"/>
            <rFont val="Tahoma"/>
            <family val="2"/>
          </rPr>
          <t>Return on equity determines the rate of return on your investment in the business.  As an owner or shareholder this is one of the most important ratios as it shows the hard fact about the business - are you making enough of a profit to compensate you for the risk of being in business?</t>
        </r>
      </text>
    </comment>
    <comment ref="C21" authorId="0" shapeId="0">
      <text>
        <r>
          <rPr>
            <b/>
            <sz val="8"/>
            <color indexed="81"/>
            <rFont val="Tahoma"/>
            <family val="2"/>
          </rPr>
          <t>This ratio measures how effectively assets are used to generate a return.</t>
        </r>
      </text>
    </comment>
    <comment ref="C22" authorId="0" shapeId="0">
      <text>
        <r>
          <rPr>
            <b/>
            <sz val="8"/>
            <color indexed="81"/>
            <rFont val="Tahoma"/>
            <family val="2"/>
          </rPr>
          <t>This ratio measures the owner's compensation as a percentage of sales.</t>
        </r>
      </text>
    </comment>
    <comment ref="C24" authorId="0" shapeId="0">
      <text>
        <r>
          <rPr>
            <b/>
            <sz val="8"/>
            <color indexed="81"/>
            <rFont val="Tahoma"/>
            <family val="2"/>
          </rPr>
          <t>Days in receivable calculates the average number of days it takes to collect your account receivable (number of days of sales in receivables).</t>
        </r>
      </text>
    </comment>
    <comment ref="C25" authorId="0" shapeId="0">
      <text>
        <r>
          <rPr>
            <b/>
            <sz val="8"/>
            <color indexed="81"/>
            <rFont val="Tahoma"/>
            <family val="2"/>
          </rPr>
          <t>This ratio tells you the number of times accounts receivable turnover during the year.</t>
        </r>
      </text>
    </comment>
    <comment ref="C26" authorId="0" shapeId="0">
      <text>
        <r>
          <rPr>
            <b/>
            <sz val="8"/>
            <color indexed="81"/>
            <rFont val="Tahoma"/>
            <family val="2"/>
          </rPr>
          <t>This ratio shows the average number of days it will take to sell your inventory.</t>
        </r>
      </text>
    </comment>
    <comment ref="C27" authorId="0" shapeId="0">
      <text>
        <r>
          <rPr>
            <b/>
            <sz val="8"/>
            <color indexed="81"/>
            <rFont val="Tahoma"/>
            <family val="2"/>
          </rPr>
          <t>This ratio calculates the number of times inventory is turned over (or sold) during the year.</t>
        </r>
      </text>
    </comment>
    <comment ref="C28" authorId="0" shapeId="0">
      <text>
        <r>
          <rPr>
            <b/>
            <sz val="8"/>
            <color indexed="81"/>
            <rFont val="Tahoma"/>
            <family val="2"/>
          </rPr>
          <t>This ratio indicates how efficiently your business generates sales on every dollar of assets.</t>
        </r>
      </text>
    </comment>
  </commentList>
</comments>
</file>

<file path=xl/sharedStrings.xml><?xml version="1.0" encoding="utf-8"?>
<sst xmlns="http://schemas.openxmlformats.org/spreadsheetml/2006/main" count="718" uniqueCount="365">
  <si>
    <t>Step 1 -  Enter info about your company in yellow shaded boxes below.</t>
  </si>
  <si>
    <t>Preparer Name</t>
  </si>
  <si>
    <t>Company Name</t>
  </si>
  <si>
    <t>Starting Month</t>
  </si>
  <si>
    <t>Starting Year</t>
  </si>
  <si>
    <t>Step 2 - Read the following instructions</t>
  </si>
  <si>
    <t>Start-up Expenses Year 1 (Starting Balance Sheet)</t>
  </si>
  <si>
    <t>Prepared By:</t>
  </si>
  <si>
    <t>Company Name:</t>
  </si>
  <si>
    <t>Fixed Assets</t>
  </si>
  <si>
    <t>Amount</t>
  </si>
  <si>
    <t>Depreciation (years)</t>
  </si>
  <si>
    <t>Notes</t>
  </si>
  <si>
    <t>Real Estate-Land</t>
  </si>
  <si>
    <t>Not Depreciated</t>
  </si>
  <si>
    <t>Real Estate-Buildings</t>
  </si>
  <si>
    <t>Leasehold Improvements</t>
  </si>
  <si>
    <t>Equipment</t>
  </si>
  <si>
    <t>Furniture and Fixtures</t>
  </si>
  <si>
    <t>Vehicles</t>
  </si>
  <si>
    <t>Other</t>
  </si>
  <si>
    <t>Total Fixed Assets</t>
  </si>
  <si>
    <t>Operating Capital</t>
  </si>
  <si>
    <t>Pre-Opening Salaries and Wages</t>
  </si>
  <si>
    <t>Prepaid Insurance Premiums</t>
  </si>
  <si>
    <t>Inventory</t>
  </si>
  <si>
    <t>Legal and Accounting Fees</t>
  </si>
  <si>
    <t>Rent Deposits</t>
  </si>
  <si>
    <t>Utility Deposits</t>
  </si>
  <si>
    <t>Supplies</t>
  </si>
  <si>
    <t>Advertising and Promotions</t>
  </si>
  <si>
    <t>Licenses</t>
  </si>
  <si>
    <t>Other Initial Start-Up Costs</t>
  </si>
  <si>
    <t>Working Capital (Cash On Hand)</t>
  </si>
  <si>
    <t>Total Operating Capital</t>
  </si>
  <si>
    <t>Total Required Funds</t>
  </si>
  <si>
    <t>Sources of Funding</t>
  </si>
  <si>
    <t>Percentage</t>
  </si>
  <si>
    <t>Totals</t>
  </si>
  <si>
    <t>Loan Rate</t>
  </si>
  <si>
    <t>Term in Months</t>
  </si>
  <si>
    <t>Monthly Payments</t>
  </si>
  <si>
    <t>Owner's Equity</t>
  </si>
  <si>
    <t>Outside Investors</t>
  </si>
  <si>
    <t>Additional Loans or Debt</t>
  </si>
  <si>
    <t>Commercial Loan</t>
  </si>
  <si>
    <t>Commercial Mortgage</t>
  </si>
  <si>
    <t>See Loan Amortization &amp; Depreciation Schedule</t>
  </si>
  <si>
    <t>Credit Card Debt</t>
  </si>
  <si>
    <t>Vehicle Loans</t>
  </si>
  <si>
    <t>Other Bank Debt</t>
  </si>
  <si>
    <t>Total Sources of Funding</t>
  </si>
  <si>
    <t>Cell D 42 must equal cell C31</t>
  </si>
  <si>
    <t>Total Funding Needed</t>
  </si>
  <si>
    <t/>
  </si>
  <si>
    <t>Existing Businesses ONLY -- Calculating Cash on Hand</t>
  </si>
  <si>
    <t>Cash</t>
  </si>
  <si>
    <t>+ Accounts Receivable</t>
  </si>
  <si>
    <t>+ Prepaid Expenses</t>
  </si>
  <si>
    <t xml:space="preserve">- Accounts Payable </t>
  </si>
  <si>
    <t>- Accrued Expenses</t>
  </si>
  <si>
    <t>Total Cash on Hand</t>
  </si>
  <si>
    <t>Payroll Year 1</t>
  </si>
  <si>
    <t>Employee Types</t>
  </si>
  <si>
    <t>Number of Owners /Employees</t>
  </si>
  <si>
    <t>Average Hourly Pay (to 2 decimal places, ex. $15.23)</t>
  </si>
  <si>
    <t>Estimated Hrs./Week (per person)</t>
  </si>
  <si>
    <t>Estimated Pay/Month (Total)</t>
  </si>
  <si>
    <t>Annual Totals</t>
  </si>
  <si>
    <t>Owner(s)</t>
  </si>
  <si>
    <t>Full-Time Employees</t>
  </si>
  <si>
    <t>Part-Time Employees</t>
  </si>
  <si>
    <t>Independent Contractors</t>
  </si>
  <si>
    <t>Total Salaries and Wages</t>
  </si>
  <si>
    <t>Payroll Taxes and Benefits</t>
  </si>
  <si>
    <t>Wage Base Limit</t>
  </si>
  <si>
    <t>Percentage of Salary/Wage</t>
  </si>
  <si>
    <t>Estimated Taxes &amp; Benefits/Month (Total)</t>
  </si>
  <si>
    <t>Social Security</t>
  </si>
  <si>
    <t>Medicare</t>
  </si>
  <si>
    <t>--</t>
  </si>
  <si>
    <t>Federal Unemployment Tax (FUTA)</t>
  </si>
  <si>
    <t>State Unemployment Tax (SUTA)</t>
  </si>
  <si>
    <t>Employee Pension Programs</t>
  </si>
  <si>
    <t>Worker's Compensation</t>
  </si>
  <si>
    <t>Employee Health Insurance</t>
  </si>
  <si>
    <t>Other Employee Benefit Programs</t>
  </si>
  <si>
    <t>Total Payroll Taxes and Benefits</t>
  </si>
  <si>
    <t>Total Salaries and Related Expenses</t>
  </si>
  <si>
    <t>Payroll Years 1-3</t>
  </si>
  <si>
    <t>Year 1 Totals</t>
  </si>
  <si>
    <t>Growth Rate 1 to 2</t>
  </si>
  <si>
    <t>Growth Rate 2 to 3</t>
  </si>
  <si>
    <t>Sales Forecast Year 1</t>
  </si>
  <si>
    <t>Complete This Chart First:</t>
  </si>
  <si>
    <t>Product Lines</t>
  </si>
  <si>
    <t>Units</t>
  </si>
  <si>
    <t>Sales Price Per Unit</t>
  </si>
  <si>
    <t>COGS Per Unit</t>
  </si>
  <si>
    <t>Margin Per Unit</t>
  </si>
  <si>
    <t>Category Breakdown</t>
  </si>
  <si>
    <t>Category / Total</t>
  </si>
  <si>
    <t>Total Sales</t>
  </si>
  <si>
    <t>Total COGS</t>
  </si>
  <si>
    <t>Total Margin</t>
  </si>
  <si>
    <t>Margin</t>
  </si>
  <si>
    <t>Total Units Sold</t>
  </si>
  <si>
    <t>Total Cost of Goods Sold</t>
  </si>
  <si>
    <t>Sales Forecast Year 1-3</t>
  </si>
  <si>
    <t xml:space="preserve">Prepared by: </t>
  </si>
  <si>
    <t>Growth Rate Year 1 to Year 2:</t>
  </si>
  <si>
    <t>Growth Rate Year 2 to Year 3:</t>
  </si>
  <si>
    <t>Year 2 Totals</t>
  </si>
  <si>
    <t>Year 3 Totals</t>
  </si>
  <si>
    <t>Additional Inputs</t>
  </si>
  <si>
    <t>Accounts Receivable (A/R) Days Sales Outstanding</t>
  </si>
  <si>
    <t>Percent of Collections</t>
  </si>
  <si>
    <t>Year 1</t>
  </si>
  <si>
    <t>Year 2</t>
  </si>
  <si>
    <t>Year 3</t>
  </si>
  <si>
    <t>Paid within 30 days</t>
  </si>
  <si>
    <t>Paid between 30 and 60 days</t>
  </si>
  <si>
    <t>Paid in more than 60 days</t>
  </si>
  <si>
    <t>Allowance for bad debt</t>
  </si>
  <si>
    <t>This should equal 100%  ----&gt;</t>
  </si>
  <si>
    <t>Accounts Payable (A/P)</t>
  </si>
  <si>
    <t>Percent of Disbursements</t>
  </si>
  <si>
    <t>Line of Credit Assumptions</t>
  </si>
  <si>
    <t>Desired Minimum Cash Balance</t>
  </si>
  <si>
    <t>Line of Credit Interest Rate</t>
  </si>
  <si>
    <t>Additional Fixed Assets Purchases</t>
  </si>
  <si>
    <t>Year 2 Total</t>
  </si>
  <si>
    <t>Year 3 Total</t>
  </si>
  <si>
    <t>Real Estate</t>
  </si>
  <si>
    <t>Other Fixed Assets</t>
  </si>
  <si>
    <t>Total Additional Fixed Assets</t>
  </si>
  <si>
    <t>Income Tax Assumptions</t>
  </si>
  <si>
    <t>Effective Income Tax Rate - Year 1</t>
  </si>
  <si>
    <t>Effective Income Tax Rate - Year 2</t>
  </si>
  <si>
    <t>Effective Income Tax Rate - Year 3</t>
  </si>
  <si>
    <t>Amortization of Start-Up Costs</t>
  </si>
  <si>
    <t>Amortization Period in Years</t>
  </si>
  <si>
    <t>Operating Expenses Year 1</t>
  </si>
  <si>
    <t>Expenses</t>
  </si>
  <si>
    <t>Advertising</t>
  </si>
  <si>
    <t>Car and Truck Expenses</t>
  </si>
  <si>
    <t>Commissions and Fees</t>
  </si>
  <si>
    <t>Contract Labor (Not included in payroll)</t>
  </si>
  <si>
    <t>Insurance (other than health)</t>
  </si>
  <si>
    <t>Legal and Professional Services</t>
  </si>
  <si>
    <t>Office Expense</t>
  </si>
  <si>
    <t>Rent or Lease -- Vehicles, Machinery, Equipment</t>
  </si>
  <si>
    <t>Rent or Lease -- Other Business Property</t>
  </si>
  <si>
    <t>Repairs and Maintenance</t>
  </si>
  <si>
    <t>Travel, Meals and Entertainment</t>
  </si>
  <si>
    <t>Utilities</t>
  </si>
  <si>
    <t xml:space="preserve">Miscellaneous </t>
  </si>
  <si>
    <t>Total Expenses</t>
  </si>
  <si>
    <t>Other Expenses</t>
  </si>
  <si>
    <t xml:space="preserve">Depreciation </t>
  </si>
  <si>
    <t>Interest</t>
  </si>
  <si>
    <t xml:space="preserve">Line of Credit </t>
  </si>
  <si>
    <t>Bad Debt Expense</t>
  </si>
  <si>
    <t>Total Other Expenses</t>
  </si>
  <si>
    <t>Total Fixed Operating Expenses</t>
  </si>
  <si>
    <t>Operating Expenses Years 1-3</t>
  </si>
  <si>
    <t>Line Item</t>
  </si>
  <si>
    <t>Total Operating Expenses</t>
  </si>
  <si>
    <t>Cash Flow Forecast Year 1</t>
  </si>
  <si>
    <t>Beginning Balance</t>
  </si>
  <si>
    <t>Cash Inflows</t>
  </si>
  <si>
    <t>Cash Sales</t>
  </si>
  <si>
    <t xml:space="preserve">Accounts Receivable </t>
  </si>
  <si>
    <t>Total Cash Inflows</t>
  </si>
  <si>
    <t>Cash Outflows</t>
  </si>
  <si>
    <t>Investing Activities</t>
  </si>
  <si>
    <t>New Fixed Asset Purchases</t>
  </si>
  <si>
    <t>Additional Inventory</t>
  </si>
  <si>
    <t>Cost of Goods Sold</t>
  </si>
  <si>
    <t>Operating Activities</t>
  </si>
  <si>
    <t>Operating Expenses</t>
  </si>
  <si>
    <t>Payroll</t>
  </si>
  <si>
    <t>Taxes</t>
  </si>
  <si>
    <t>Financing Activities</t>
  </si>
  <si>
    <t>Loan Payments</t>
  </si>
  <si>
    <t>Owners Distribution</t>
  </si>
  <si>
    <t>Line of Credit Interest</t>
  </si>
  <si>
    <t>Line of Credit Repayments</t>
  </si>
  <si>
    <t>Dividends Paid</t>
  </si>
  <si>
    <t>Total Cash Outflows</t>
  </si>
  <si>
    <t>Net Cash Flows</t>
  </si>
  <si>
    <t>Operating Cash Balance</t>
  </si>
  <si>
    <t>Line of Credit Drawdown</t>
  </si>
  <si>
    <t>Ending Cash Balance</t>
  </si>
  <si>
    <t>Line of Credit Balance</t>
  </si>
  <si>
    <t>Cash Flow Forecast Years 1-3</t>
  </si>
  <si>
    <t>Income Statement Year 1</t>
  </si>
  <si>
    <t>Revenue</t>
  </si>
  <si>
    <t>Total Revenue</t>
  </si>
  <si>
    <t>Gross Margin</t>
  </si>
  <si>
    <t>Other Expense 1</t>
  </si>
  <si>
    <t>Other Expense 2</t>
  </si>
  <si>
    <t>Income (Before Other Expenses)</t>
  </si>
  <si>
    <t>Amortized Start-up Expenses</t>
  </si>
  <si>
    <t>Depreciation</t>
  </si>
  <si>
    <t>Line of Credit</t>
  </si>
  <si>
    <t>Net Income Before Income Tax</t>
  </si>
  <si>
    <t>Income Tax</t>
  </si>
  <si>
    <t>Net Profit/Loss</t>
  </si>
  <si>
    <t>Income Tax Calculations</t>
  </si>
  <si>
    <t>Monthly Taxable Income</t>
  </si>
  <si>
    <t>Cumulative Taxable Income</t>
  </si>
  <si>
    <t>Income Statement Years 1-3</t>
  </si>
  <si>
    <t>Net Income/Loss</t>
  </si>
  <si>
    <t>Month 1</t>
  </si>
  <si>
    <t>Month 2</t>
  </si>
  <si>
    <t>Month 3</t>
  </si>
  <si>
    <t>Month 4</t>
  </si>
  <si>
    <t>Month 5</t>
  </si>
  <si>
    <t>Month 6</t>
  </si>
  <si>
    <t>Month 7</t>
  </si>
  <si>
    <t>Month 8</t>
  </si>
  <si>
    <t>Month 9</t>
  </si>
  <si>
    <t>Month 10</t>
  </si>
  <si>
    <t>Month 11</t>
  </si>
  <si>
    <t>Month 12</t>
  </si>
  <si>
    <t>Total</t>
  </si>
  <si>
    <t>Taxable Amount Year 2</t>
  </si>
  <si>
    <t>Income Taxes</t>
  </si>
  <si>
    <t>Taxable Amount Year 3</t>
  </si>
  <si>
    <t>Balance Sheet Years 1-3</t>
  </si>
  <si>
    <t>ASSETS</t>
  </si>
  <si>
    <t>Current Assets</t>
  </si>
  <si>
    <t>Accounts Receivable</t>
  </si>
  <si>
    <t>Prepaid Expenses</t>
  </si>
  <si>
    <t>Other Initial Costs</t>
  </si>
  <si>
    <t>Total Current Assets</t>
  </si>
  <si>
    <t>Real Estate -- Land</t>
  </si>
  <si>
    <t>Real Estate -- Buildings</t>
  </si>
  <si>
    <t xml:space="preserve">Other </t>
  </si>
  <si>
    <t>(Less Accumulated Depreciation)</t>
  </si>
  <si>
    <t>Total Assets</t>
  </si>
  <si>
    <t>LIABILITIES &amp; EQUITY</t>
  </si>
  <si>
    <t>Liabilities</t>
  </si>
  <si>
    <t>Accounts Payable</t>
  </si>
  <si>
    <t>Commercial Loan Balance</t>
  </si>
  <si>
    <t>Commercial Mortgage Balance</t>
  </si>
  <si>
    <t>Credit Card Debt Balance</t>
  </si>
  <si>
    <t>Vehicle Loans Balance</t>
  </si>
  <si>
    <t>Other Bank Debt Balance</t>
  </si>
  <si>
    <t>Total  Liabilities</t>
  </si>
  <si>
    <t>Equity</t>
  </si>
  <si>
    <t>Common Stock</t>
  </si>
  <si>
    <t>Retained Earnings</t>
  </si>
  <si>
    <t>Dividends Dispersed/Owners Draw</t>
  </si>
  <si>
    <t>Total Equity</t>
  </si>
  <si>
    <t>Total Liabilities and Equity</t>
  </si>
  <si>
    <t>Balance sheet in or out of balance?</t>
  </si>
  <si>
    <t>Breakeven Analysis Year 1</t>
  </si>
  <si>
    <t xml:space="preserve">Gross Margin % of Sales </t>
  </si>
  <si>
    <t>Gross Margin/Total Sales</t>
  </si>
  <si>
    <t xml:space="preserve">Total Fixed Expenses </t>
  </si>
  <si>
    <t>Operating + Payroll</t>
  </si>
  <si>
    <t>Breakeven Sales in Dollars (Annual)</t>
  </si>
  <si>
    <t>Gross Margin % of Sales</t>
  </si>
  <si>
    <t>Yearly Breakeven Amount</t>
  </si>
  <si>
    <t>Monthly Breakeven Amount</t>
  </si>
  <si>
    <t>Financial Ratios - Year 1</t>
  </si>
  <si>
    <t>Ratios</t>
  </si>
  <si>
    <t>Year One</t>
  </si>
  <si>
    <t>Year Two</t>
  </si>
  <si>
    <t>Year Three</t>
  </si>
  <si>
    <t xml:space="preserve"> Industry Norms</t>
  </si>
  <si>
    <t>Liquidity</t>
  </si>
  <si>
    <t>Current Ratio</t>
  </si>
  <si>
    <t>Quick Ratio</t>
  </si>
  <si>
    <t>Safety</t>
  </si>
  <si>
    <t>Debt to Equity Ratio</t>
  </si>
  <si>
    <t>Debt-Service Coverage Ratio - DSCR</t>
  </si>
  <si>
    <t>Profitability</t>
  </si>
  <si>
    <t xml:space="preserve">Sales Growth </t>
  </si>
  <si>
    <t>COGS to Sales</t>
  </si>
  <si>
    <t>Gross Profit Margin</t>
  </si>
  <si>
    <t>SG&amp;A to Sales</t>
  </si>
  <si>
    <t>Net Profit Margin</t>
  </si>
  <si>
    <t>Return on Equity (ROE)</t>
  </si>
  <si>
    <t>Return on Assets</t>
  </si>
  <si>
    <t>Owner's Compensation to Sales</t>
  </si>
  <si>
    <t>Efficiency</t>
  </si>
  <si>
    <t>Days in Receivables</t>
  </si>
  <si>
    <t>Accounts Receivable Turnover</t>
  </si>
  <si>
    <t>Days in Inventory</t>
  </si>
  <si>
    <t>Inventory Turnover</t>
  </si>
  <si>
    <t>Sales to Total Assets</t>
  </si>
  <si>
    <t>Diagnostic Tools - Year 1</t>
  </si>
  <si>
    <t>General Financing Assumptions</t>
  </si>
  <si>
    <t>Value</t>
  </si>
  <si>
    <t>Findings</t>
  </si>
  <si>
    <t>Owner's Cash Injection into the Business</t>
  </si>
  <si>
    <t>Cash Request as percent of Total Required Funds</t>
  </si>
  <si>
    <t>Loan Assumptions</t>
  </si>
  <si>
    <t>Commercial Loan Interest rate</t>
  </si>
  <si>
    <t>Commercial Loan Term in Months</t>
  </si>
  <si>
    <t>Commercial Mortgage Interest rate</t>
  </si>
  <si>
    <t>Commercial Mortgage Term in Months</t>
  </si>
  <si>
    <t>Debt-Service Coverage</t>
  </si>
  <si>
    <t>Income Statement</t>
  </si>
  <si>
    <t>Gross Margin as a Percent of Sales</t>
  </si>
  <si>
    <t>Owner's Compensation Lower Limit Check</t>
  </si>
  <si>
    <t>Owner's Compensation Upper Limit Check</t>
  </si>
  <si>
    <t>Advertising Expense Levels as a Percent of Sales</t>
  </si>
  <si>
    <t>Profitability Levels</t>
  </si>
  <si>
    <t>Profitability as a Percent of Sales</t>
  </si>
  <si>
    <t>Cash Flow Statement</t>
  </si>
  <si>
    <t>Desired Operating cash Flow Levels</t>
  </si>
  <si>
    <t>Line of Credit Drawdowns</t>
  </si>
  <si>
    <t>Accounts Receivable Ratio to Sales</t>
  </si>
  <si>
    <t>Balance Sheet</t>
  </si>
  <si>
    <t>Does the Year 1 Balance Sheet Balance?</t>
  </si>
  <si>
    <t>Breakeven Analysis</t>
  </si>
  <si>
    <t>Do Sales Exceed the Breakeven Level?</t>
  </si>
  <si>
    <t>COGS Calculator</t>
  </si>
  <si>
    <t>Variable Costs of Products</t>
  </si>
  <si>
    <t>Timeframe:</t>
  </si>
  <si>
    <t>Month</t>
  </si>
  <si>
    <t>Product Line:</t>
  </si>
  <si>
    <t>Widget</t>
  </si>
  <si>
    <t xml:space="preserve">Raw materials </t>
  </si>
  <si>
    <t>Labor used to produce product</t>
  </si>
  <si>
    <t>Costs associated with shipping and storing raw materials</t>
  </si>
  <si>
    <t>Production facility expenses (use fraction of total if facility is used for other items)</t>
  </si>
  <si>
    <t xml:space="preserve">Total Product Expenses </t>
  </si>
  <si>
    <t>Number Units Sold in timeframe used</t>
  </si>
  <si>
    <t>Cost of Goods Sold Per Unit</t>
  </si>
  <si>
    <t>Variable Costs of Services</t>
  </si>
  <si>
    <t>Project</t>
  </si>
  <si>
    <t>Amount spent on labor during timeframe</t>
  </si>
  <si>
    <t>Amount spent on materials during this timeframe</t>
  </si>
  <si>
    <t>List any other variable costs associated with the delivery of your service during this timeframe.</t>
  </si>
  <si>
    <t xml:space="preserve">Total Service Expenses </t>
  </si>
  <si>
    <t>Number Units Sold During Timeframe</t>
  </si>
  <si>
    <t>Return to Sales Forecast Year 1</t>
  </si>
  <si>
    <t>Amortization &amp; Depreciation Schedule</t>
  </si>
  <si>
    <t>Return to Starting Point</t>
  </si>
  <si>
    <t>Principal Amount</t>
  </si>
  <si>
    <t>Interest Rate</t>
  </si>
  <si>
    <t>Loan Term in Months</t>
  </si>
  <si>
    <t>Monthly Payment Amount</t>
  </si>
  <si>
    <t>Principal</t>
  </si>
  <si>
    <t>Loan Balance</t>
  </si>
  <si>
    <t>Starting Depreciation</t>
  </si>
  <si>
    <t>Additional Depreciation</t>
  </si>
  <si>
    <t>Ending Depreciation</t>
  </si>
  <si>
    <t>Ending Deprecation</t>
  </si>
  <si>
    <t>Monthly</t>
  </si>
  <si>
    <t>Total Expensed each Year</t>
  </si>
  <si>
    <t>Amount Amortized</t>
  </si>
  <si>
    <t>Total Amortized</t>
  </si>
  <si>
    <t>Date Last Revised</t>
  </si>
  <si>
    <t>Revised By</t>
  </si>
  <si>
    <t>Heather Hendy</t>
  </si>
  <si>
    <t>Tab 3a, cell O55: added margin from 6th product. Tab 3b, cells O49 and AD49: added margins from 6th product. Tab 7b: added % sales for lines 23 and 59 for all three years.</t>
  </si>
  <si>
    <t xml:space="preserve">Updated Tabs 5a, 5b, 7a, and 7b to automatically carry over debt categories from Tab 1 in case they are edited. Updated Tabs 5b, 7a and 7b to carry over expense categories from tab 5a in case they are edited. </t>
  </si>
  <si>
    <t>Tab 8 Balance Sheet Cell F41 comes from E41 + tab 6b cell AB24 + tab 6b cell AB27.
However tab 6b cell AB27 did not have a sum total in the cell.
So when paying Dividends in Year 3 the total for the year is not calculated and carried over to the Balance Sheet. This has now been updated.</t>
  </si>
  <si>
    <t>https://namozagy.com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</si>
</sst>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quot;$&quot;* #,##0.00_);_(&quot;$&quot;* \(#,##0.00\);_(&quot;$&quot;* &quot;-&quot;??_);_(@_)"/>
    <numFmt numFmtId="165" formatCode="_(* #,##0_);_(* \(#,##0\);_(* &quot;-&quot;_);_(@_)"/>
    <numFmt numFmtId="166" formatCode="_(* #,##0.00_);_(* \(#,##0.00\);_(* &quot;-&quot;??_);_(@_)"/>
    <numFmt numFmtId="167" formatCode="_(&quot;$&quot;* #,##0_);_(&quot;$&quot;* \(#,##0\);_(&quot;$&quot;* &quot;-&quot;_);_(@_)"/>
    <numFmt numFmtId="168" formatCode="_(* #,##0_);_(* \(#,##0\);_(* &quot;-&quot;??_);_(@_)"/>
    <numFmt numFmtId="169" formatCode="_(&quot;$&quot;* #,##0_);_(&quot;$&quot;* \(#,##0\);_(&quot;$&quot;* &quot;-&quot;??_);_(@_)"/>
    <numFmt numFmtId="170" formatCode="0_);[Red]\(0\)"/>
    <numFmt numFmtId="171" formatCode="0.0%"/>
    <numFmt numFmtId="172" formatCode="&quot;$&quot;#,##0_);[Red]\(&quot;$&quot;#,##0\)"/>
    <numFmt numFmtId="173" formatCode="0.0"/>
    <numFmt numFmtId="174" formatCode="&quot;$&quot;#,##0.00_);[Red]\(&quot;$&quot;#,##0.00\)"/>
    <numFmt numFmtId="175" formatCode="&quot;$&quot;#,##0.00"/>
  </numFmts>
  <fonts count="63" x14ac:knownFonts="1">
    <font>
      <sz val="11"/>
      <color theme="1"/>
      <name val="Calibri"/>
      <family val="2"/>
      <scheme val="minor"/>
    </font>
    <font>
      <i/>
      <sz val="11"/>
      <color indexed="8"/>
      <name val="Gill Sans MT"/>
      <family val="2"/>
    </font>
    <font>
      <sz val="11"/>
      <name val="Gill Sans MT"/>
      <family val="2"/>
    </font>
    <font>
      <sz val="11"/>
      <color indexed="8"/>
      <name val="Gill Sans MT"/>
      <family val="2"/>
    </font>
    <font>
      <b/>
      <sz val="11"/>
      <color indexed="8"/>
      <name val="Gill Sans MT"/>
      <family val="2"/>
    </font>
    <font>
      <sz val="11"/>
      <name val="Arial"/>
      <family val="2"/>
    </font>
    <font>
      <b/>
      <sz val="9"/>
      <name val="Gill Sans MT"/>
      <family val="2"/>
    </font>
    <font>
      <b/>
      <sz val="11"/>
      <color rgb="FF319B96"/>
      <name val="Gill Sans MT"/>
      <family val="2"/>
    </font>
    <font>
      <b/>
      <sz val="11"/>
      <name val="Gill Sans MT"/>
      <family val="2"/>
    </font>
    <font>
      <sz val="11"/>
      <color theme="1"/>
      <name val="Gill Sans MT"/>
      <family val="2"/>
    </font>
    <font>
      <sz val="11"/>
      <color theme="0"/>
      <name val="Gill Sans MT"/>
      <family val="2"/>
    </font>
    <font>
      <sz val="10"/>
      <color theme="0"/>
      <name val="Arial"/>
      <family val="2"/>
    </font>
    <font>
      <sz val="10"/>
      <color indexed="8"/>
      <name val="Gill Sans MT"/>
      <family val="2"/>
    </font>
    <font>
      <b/>
      <sz val="10"/>
      <name val="Gill Sans MT"/>
      <family val="2"/>
    </font>
    <font>
      <b/>
      <sz val="10"/>
      <color indexed="57"/>
      <name val="Gill Sans MT"/>
      <family val="2"/>
    </font>
    <font>
      <b/>
      <sz val="10"/>
      <color indexed="8"/>
      <name val="Gill Sans MT"/>
      <family val="2"/>
    </font>
    <font>
      <sz val="10"/>
      <name val="Gill Sans MT"/>
      <family val="2"/>
    </font>
    <font>
      <b/>
      <sz val="10"/>
      <color rgb="FF319B96"/>
      <name val="Gill Sans MT"/>
      <family val="2"/>
    </font>
    <font>
      <b/>
      <sz val="10"/>
      <color indexed="9"/>
      <name val="Gill Sans MT"/>
      <family val="2"/>
    </font>
    <font>
      <sz val="11"/>
      <color indexed="8"/>
      <name val="Calibri"/>
      <family val="2"/>
    </font>
    <font>
      <b/>
      <sz val="10"/>
      <color indexed="10"/>
      <name val="Gill Sans MT"/>
      <family val="2"/>
    </font>
    <font>
      <u/>
      <sz val="11"/>
      <color theme="10"/>
      <name val="Calibri"/>
      <family val="2"/>
      <scheme val="minor"/>
    </font>
    <font>
      <u/>
      <sz val="10"/>
      <name val="Calibri"/>
      <family val="2"/>
    </font>
    <font>
      <b/>
      <sz val="10"/>
      <color indexed="12"/>
      <name val="Gill Sans MT"/>
      <family val="2"/>
    </font>
    <font>
      <b/>
      <sz val="10"/>
      <color indexed="10"/>
      <name val="Arial"/>
      <family val="2"/>
    </font>
    <font>
      <sz val="11"/>
      <color indexed="81"/>
      <name val="Gill Sans MT"/>
      <family val="2"/>
    </font>
    <font>
      <sz val="9"/>
      <color indexed="81"/>
      <name val="Tahoma"/>
      <family val="2"/>
    </font>
    <font>
      <sz val="9"/>
      <color indexed="8"/>
      <name val="Gill Sans MT"/>
      <family val="2"/>
    </font>
    <font>
      <b/>
      <sz val="9"/>
      <color indexed="57"/>
      <name val="Gill Sans MT"/>
      <family val="2"/>
    </font>
    <font>
      <sz val="9"/>
      <name val="Gill Sans MT"/>
      <family val="2"/>
    </font>
    <font>
      <b/>
      <sz val="9"/>
      <color theme="3"/>
      <name val="Gill Sans MT"/>
      <family val="2"/>
    </font>
    <font>
      <b/>
      <sz val="9"/>
      <color rgb="FF319B96"/>
      <name val="Gill Sans MT"/>
      <family val="2"/>
    </font>
    <font>
      <sz val="9"/>
      <color indexed="9"/>
      <name val="Gill Sans MT"/>
      <family val="2"/>
    </font>
    <font>
      <b/>
      <sz val="9"/>
      <color indexed="8"/>
      <name val="Gill Sans MT"/>
      <family val="2"/>
    </font>
    <font>
      <sz val="10"/>
      <color indexed="81"/>
      <name val="Gill Sans MT"/>
      <family val="2"/>
    </font>
    <font>
      <b/>
      <sz val="11"/>
      <color indexed="81"/>
      <name val="Gill Sans MT"/>
      <family val="2"/>
    </font>
    <font>
      <b/>
      <sz val="9"/>
      <color indexed="81"/>
      <name val="Tahoma"/>
      <family val="2"/>
    </font>
    <font>
      <sz val="9"/>
      <color theme="1"/>
      <name val="Gill Sans MT"/>
      <family val="2"/>
    </font>
    <font>
      <b/>
      <sz val="9"/>
      <color indexed="9"/>
      <name val="Gill Sans MT"/>
      <family val="2"/>
    </font>
    <font>
      <b/>
      <sz val="9"/>
      <color rgb="FF44C8F5"/>
      <name val="Gill Sans MT"/>
      <family val="2"/>
    </font>
    <font>
      <b/>
      <u/>
      <sz val="9"/>
      <color indexed="9"/>
      <name val="Gill Sans MT"/>
      <family val="2"/>
    </font>
    <font>
      <u/>
      <sz val="9"/>
      <name val="Calibri"/>
      <family val="2"/>
    </font>
    <font>
      <b/>
      <i/>
      <sz val="9"/>
      <color indexed="8"/>
      <name val="Gill Sans MT"/>
      <family val="2"/>
    </font>
    <font>
      <b/>
      <sz val="9"/>
      <color indexed="10"/>
      <name val="Gill Sans MT"/>
      <family val="2"/>
    </font>
    <font>
      <b/>
      <sz val="14"/>
      <color indexed="81"/>
      <name val="Gill Sans MT"/>
      <family val="2"/>
    </font>
    <font>
      <b/>
      <sz val="7"/>
      <name val="Gill Sans MT"/>
      <family val="2"/>
    </font>
    <font>
      <b/>
      <sz val="9"/>
      <name val="Arial"/>
      <family val="2"/>
    </font>
    <font>
      <sz val="9"/>
      <name val="Arial"/>
      <family val="2"/>
    </font>
    <font>
      <b/>
      <sz val="11"/>
      <color indexed="81"/>
      <name val="Arial Black"/>
      <family val="2"/>
    </font>
    <font>
      <sz val="9"/>
      <color indexed="30"/>
      <name val="Gill Sans MT"/>
      <family val="2"/>
    </font>
    <font>
      <sz val="9"/>
      <color indexed="57"/>
      <name val="Gill Sans MT"/>
      <family val="2"/>
    </font>
    <font>
      <b/>
      <sz val="9"/>
      <color indexed="81"/>
      <name val="Tahoma"/>
      <charset val="1"/>
    </font>
    <font>
      <sz val="9"/>
      <color indexed="81"/>
      <name val="Tahoma"/>
      <charset val="1"/>
    </font>
    <font>
      <sz val="9"/>
      <name val="Calibri"/>
      <family val="2"/>
      <scheme val="minor"/>
    </font>
    <font>
      <sz val="9"/>
      <color theme="0"/>
      <name val="Gill Sans MT"/>
      <family val="2"/>
    </font>
    <font>
      <b/>
      <sz val="9"/>
      <color theme="0"/>
      <name val="Gill Sans MT"/>
      <family val="2"/>
    </font>
    <font>
      <u/>
      <sz val="9"/>
      <name val="Gill Sans MT"/>
      <family val="2"/>
    </font>
    <font>
      <sz val="9"/>
      <color rgb="FF319B96"/>
      <name val="Gill Sans MT"/>
      <family val="2"/>
    </font>
    <font>
      <sz val="9"/>
      <color indexed="10"/>
      <name val="Gill Sans MT"/>
      <family val="2"/>
    </font>
    <font>
      <b/>
      <sz val="8"/>
      <color indexed="81"/>
      <name val="Tahoma"/>
      <family val="2"/>
    </font>
    <font>
      <b/>
      <sz val="9"/>
      <color indexed="11"/>
      <name val="Gill Sans MT"/>
      <family val="2"/>
    </font>
    <font>
      <u/>
      <sz val="9"/>
      <color indexed="9"/>
      <name val="Gill Sans MT"/>
      <family val="2"/>
    </font>
    <font>
      <b/>
      <sz val="11"/>
      <color theme="1"/>
      <name val="Calibri"/>
      <family val="2"/>
      <scheme val="minor"/>
    </font>
  </fonts>
  <fills count="12">
    <fill>
      <patternFill patternType="none"/>
    </fill>
    <fill>
      <patternFill patternType="gray125"/>
    </fill>
    <fill>
      <patternFill patternType="solid">
        <fgColor indexed="21"/>
      </patternFill>
    </fill>
    <fill>
      <patternFill patternType="solid">
        <fgColor rgb="FF8ACC9E"/>
        <bgColor indexed="64"/>
      </patternFill>
    </fill>
    <fill>
      <patternFill patternType="solid">
        <fgColor theme="0"/>
        <bgColor indexed="64"/>
      </patternFill>
    </fill>
    <fill>
      <patternFill patternType="solid">
        <fgColor rgb="FFFFC000"/>
        <bgColor indexed="64"/>
      </patternFill>
    </fill>
    <fill>
      <patternFill patternType="solid">
        <fgColor rgb="FFFFEAA7"/>
        <bgColor indexed="64"/>
      </patternFill>
    </fill>
    <fill>
      <patternFill patternType="solid">
        <fgColor rgb="FFFFC95B"/>
        <bgColor indexed="64"/>
      </patternFill>
    </fill>
    <fill>
      <patternFill patternType="solid">
        <fgColor rgb="FF4BC4C7"/>
        <bgColor indexed="64"/>
      </patternFill>
    </fill>
    <fill>
      <patternFill patternType="solid">
        <fgColor indexed="9"/>
        <bgColor indexed="64"/>
      </patternFill>
    </fill>
    <fill>
      <patternFill patternType="solid">
        <fgColor indexed="9"/>
        <bgColor indexed="9"/>
      </patternFill>
    </fill>
    <fill>
      <patternFill patternType="solid">
        <fgColor indexed="4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rgb="FF4BC4C7"/>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ck">
        <color rgb="FF4BC4C7"/>
      </bottom>
      <diagonal/>
    </border>
    <border>
      <left/>
      <right/>
      <top style="thin">
        <color indexed="64"/>
      </top>
      <bottom style="thick">
        <color rgb="FF4BC4C7"/>
      </bottom>
      <diagonal/>
    </border>
    <border>
      <left/>
      <right style="medium">
        <color indexed="64"/>
      </right>
      <top style="thin">
        <color indexed="64"/>
      </top>
      <bottom style="thick">
        <color rgb="FF4BC4C7"/>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theme="3"/>
      </bottom>
      <diagonal/>
    </border>
    <border>
      <left style="thin">
        <color indexed="64"/>
      </left>
      <right/>
      <top style="thin">
        <color indexed="64"/>
      </top>
      <bottom/>
      <diagonal/>
    </border>
  </borders>
  <cellStyleXfs count="7">
    <xf numFmtId="0" fontId="0" fillId="0" borderId="0"/>
    <xf numFmtId="0" fontId="5" fillId="2" borderId="0"/>
    <xf numFmtId="49" fontId="6" fillId="3" borderId="1" applyProtection="0">
      <alignment wrapText="1"/>
    </xf>
    <xf numFmtId="164" fontId="19" fillId="0" borderId="0" applyFont="0" applyFill="0" applyBorder="0" applyAlignment="0" applyProtection="0"/>
    <xf numFmtId="166" fontId="19" fillId="0" borderId="0" applyFont="0" applyFill="0" applyBorder="0" applyAlignment="0" applyProtection="0"/>
    <xf numFmtId="9" fontId="19" fillId="0" borderId="0" applyFont="0" applyFill="0" applyBorder="0" applyAlignment="0" applyProtection="0"/>
    <xf numFmtId="0" fontId="21" fillId="0" borderId="0" applyNumberFormat="0" applyFill="0" applyBorder="0" applyAlignment="0" applyProtection="0"/>
  </cellStyleXfs>
  <cellXfs count="633">
    <xf numFmtId="0" fontId="0" fillId="0" borderId="0" xfId="0"/>
    <xf numFmtId="0" fontId="1" fillId="0" borderId="0" xfId="0" applyFont="1" applyProtection="1"/>
    <xf numFmtId="0" fontId="2" fillId="0" borderId="0" xfId="0" applyFont="1" applyProtection="1"/>
    <xf numFmtId="0" fontId="3" fillId="0" borderId="0" xfId="0" applyFont="1" applyProtection="1"/>
    <xf numFmtId="0" fontId="4" fillId="0" borderId="0" xfId="0" applyFont="1" applyAlignment="1" applyProtection="1">
      <alignment horizontal="left" vertical="center" wrapText="1"/>
    </xf>
    <xf numFmtId="0" fontId="3" fillId="0" borderId="0" xfId="1" applyFont="1" applyFill="1" applyBorder="1" applyProtection="1"/>
    <xf numFmtId="0" fontId="3" fillId="0" borderId="0" xfId="0" applyFont="1" applyFill="1" applyBorder="1" applyProtection="1"/>
    <xf numFmtId="0" fontId="3" fillId="0" borderId="0" xfId="0" applyFont="1" applyBorder="1" applyProtection="1"/>
    <xf numFmtId="0" fontId="3" fillId="0" borderId="0" xfId="0" applyFont="1" applyBorder="1" applyAlignment="1" applyProtection="1">
      <alignment horizontal="right"/>
    </xf>
    <xf numFmtId="49" fontId="7" fillId="4" borderId="2" xfId="2" applyFont="1" applyFill="1" applyBorder="1" applyAlignment="1" applyProtection="1">
      <alignment horizontal="center" wrapText="1"/>
    </xf>
    <xf numFmtId="0" fontId="8" fillId="0" borderId="3" xfId="0" applyFont="1" applyFill="1" applyBorder="1" applyAlignment="1" applyProtection="1">
      <alignment horizontal="center"/>
      <protection locked="0"/>
    </xf>
    <xf numFmtId="0" fontId="8" fillId="5" borderId="3" xfId="0" applyFont="1" applyFill="1" applyBorder="1" applyAlignment="1" applyProtection="1">
      <alignment horizontal="center"/>
      <protection locked="0"/>
    </xf>
    <xf numFmtId="0" fontId="8" fillId="5" borderId="3" xfId="0" applyNumberFormat="1" applyFont="1" applyFill="1" applyBorder="1" applyAlignment="1" applyProtection="1">
      <alignment horizontal="center"/>
      <protection locked="0"/>
    </xf>
    <xf numFmtId="0" fontId="8" fillId="6" borderId="3" xfId="0" applyFont="1" applyFill="1" applyBorder="1" applyAlignment="1" applyProtection="1">
      <alignment horizontal="center"/>
      <protection locked="0"/>
    </xf>
    <xf numFmtId="0" fontId="4" fillId="0" borderId="0" xfId="0" applyFont="1" applyAlignment="1" applyProtection="1">
      <alignment horizontal="left" vertical="center"/>
    </xf>
    <xf numFmtId="0" fontId="9" fillId="0" borderId="0" xfId="0" applyFont="1" applyProtection="1"/>
    <xf numFmtId="0" fontId="10" fillId="0" borderId="0" xfId="0" applyFont="1" applyProtection="1"/>
    <xf numFmtId="0" fontId="10" fillId="0" borderId="0" xfId="0" applyFont="1" applyProtection="1">
      <protection hidden="1"/>
    </xf>
    <xf numFmtId="0" fontId="11" fillId="0" borderId="0" xfId="0" applyFont="1" applyFill="1" applyBorder="1" applyAlignment="1" applyProtection="1">
      <alignment vertical="center" wrapText="1"/>
      <protection hidden="1"/>
    </xf>
    <xf numFmtId="0" fontId="4" fillId="0" borderId="0" xfId="0" applyFont="1" applyProtection="1"/>
    <xf numFmtId="0" fontId="12" fillId="0" borderId="0" xfId="0" applyFont="1" applyFill="1"/>
    <xf numFmtId="0" fontId="12" fillId="0" borderId="0" xfId="0" applyFont="1"/>
    <xf numFmtId="0" fontId="13" fillId="0" borderId="0" xfId="0" applyFont="1" applyBorder="1" applyAlignment="1">
      <alignment horizontal="left" vertical="center"/>
    </xf>
    <xf numFmtId="0" fontId="14" fillId="0" borderId="0" xfId="0" applyFont="1" applyBorder="1" applyAlignment="1">
      <alignment horizontal="left" vertical="center"/>
    </xf>
    <xf numFmtId="0" fontId="13" fillId="0" borderId="0" xfId="0" applyFont="1" applyBorder="1" applyAlignment="1"/>
    <xf numFmtId="0" fontId="15" fillId="0" borderId="0" xfId="0" applyFont="1" applyBorder="1"/>
    <xf numFmtId="0" fontId="12" fillId="0" borderId="0" xfId="0" applyFont="1" applyFill="1" applyBorder="1"/>
    <xf numFmtId="0" fontId="16" fillId="0" borderId="0" xfId="0" applyFont="1" applyBorder="1" applyAlignment="1"/>
    <xf numFmtId="0" fontId="16" fillId="0" borderId="0" xfId="0" applyFont="1" applyFill="1"/>
    <xf numFmtId="49" fontId="17" fillId="4" borderId="2" xfId="2" applyFont="1" applyFill="1" applyBorder="1" applyAlignment="1">
      <alignment horizontal="center" wrapText="1"/>
    </xf>
    <xf numFmtId="49" fontId="17" fillId="4" borderId="2" xfId="2" applyFont="1" applyFill="1" applyBorder="1" applyAlignment="1">
      <alignment horizontal="center" wrapText="1"/>
    </xf>
    <xf numFmtId="0" fontId="18" fillId="0" borderId="4" xfId="0" applyFont="1" applyFill="1" applyBorder="1" applyAlignment="1">
      <alignment vertical="center"/>
    </xf>
    <xf numFmtId="0" fontId="13" fillId="0" borderId="5" xfId="0" applyFont="1" applyFill="1" applyBorder="1" applyAlignment="1"/>
    <xf numFmtId="0" fontId="16" fillId="0" borderId="3" xfId="0" applyFont="1" applyBorder="1"/>
    <xf numFmtId="0" fontId="16" fillId="0" borderId="5" xfId="0" applyFont="1" applyFill="1" applyBorder="1" applyAlignment="1" applyProtection="1">
      <alignment horizontal="center"/>
      <protection locked="0"/>
    </xf>
    <xf numFmtId="0" fontId="16" fillId="0" borderId="6" xfId="0" applyFont="1" applyFill="1" applyBorder="1" applyAlignment="1" applyProtection="1">
      <alignment horizontal="center"/>
      <protection locked="0"/>
    </xf>
    <xf numFmtId="0" fontId="16" fillId="0" borderId="4" xfId="0" applyFont="1" applyFill="1" applyBorder="1" applyAlignment="1" applyProtection="1">
      <protection locked="0"/>
    </xf>
    <xf numFmtId="0" fontId="13" fillId="0" borderId="1" xfId="0" applyFont="1" applyFill="1" applyBorder="1" applyAlignment="1">
      <alignment horizontal="left"/>
    </xf>
    <xf numFmtId="165" fontId="16" fillId="7" borderId="5" xfId="3" applyNumberFormat="1" applyFont="1" applyFill="1" applyBorder="1" applyProtection="1">
      <protection locked="0"/>
    </xf>
    <xf numFmtId="165" fontId="16" fillId="0" borderId="1" xfId="3" applyNumberFormat="1" applyFont="1" applyFill="1" applyBorder="1" applyAlignment="1" applyProtection="1">
      <alignment horizontal="right"/>
      <protection locked="0"/>
    </xf>
    <xf numFmtId="0" fontId="16" fillId="0" borderId="7" xfId="0" applyFont="1" applyFill="1" applyBorder="1" applyAlignment="1" applyProtection="1">
      <alignment horizontal="center"/>
      <protection locked="0"/>
    </xf>
    <xf numFmtId="0" fontId="16" fillId="0" borderId="8" xfId="0" applyFont="1" applyFill="1" applyBorder="1" applyAlignment="1" applyProtection="1">
      <alignment horizontal="center"/>
      <protection locked="0"/>
    </xf>
    <xf numFmtId="165" fontId="16" fillId="7" borderId="7" xfId="4" applyNumberFormat="1" applyFont="1" applyFill="1" applyBorder="1" applyProtection="1">
      <protection locked="0"/>
    </xf>
    <xf numFmtId="165" fontId="16" fillId="6" borderId="1" xfId="4" applyNumberFormat="1" applyFont="1" applyFill="1" applyBorder="1" applyProtection="1">
      <protection locked="0"/>
    </xf>
    <xf numFmtId="166" fontId="16" fillId="0" borderId="7" xfId="4" applyNumberFormat="1" applyFont="1" applyFill="1" applyBorder="1" applyAlignment="1" applyProtection="1">
      <alignment horizontal="center"/>
      <protection locked="0"/>
    </xf>
    <xf numFmtId="166" fontId="16" fillId="0" borderId="8" xfId="4" applyNumberFormat="1" applyFont="1" applyFill="1" applyBorder="1" applyAlignment="1" applyProtection="1">
      <alignment horizontal="center"/>
      <protection locked="0"/>
    </xf>
    <xf numFmtId="166" fontId="16" fillId="0" borderId="4" xfId="4" applyNumberFormat="1" applyFont="1" applyFill="1" applyBorder="1" applyAlignment="1" applyProtection="1">
      <protection locked="0"/>
    </xf>
    <xf numFmtId="0" fontId="13" fillId="0" borderId="1" xfId="0" applyFont="1" applyFill="1" applyBorder="1"/>
    <xf numFmtId="167" fontId="16" fillId="0" borderId="1" xfId="4" applyNumberFormat="1" applyFont="1" applyFill="1" applyBorder="1"/>
    <xf numFmtId="167" fontId="16" fillId="0" borderId="9" xfId="4" applyNumberFormat="1" applyFont="1" applyFill="1" applyBorder="1"/>
    <xf numFmtId="166" fontId="16" fillId="0" borderId="10" xfId="4" applyFont="1" applyFill="1" applyBorder="1" applyAlignment="1" applyProtection="1">
      <alignment horizontal="center"/>
      <protection locked="0"/>
    </xf>
    <xf numFmtId="166" fontId="16" fillId="0" borderId="8" xfId="4" applyFont="1" applyFill="1" applyBorder="1" applyAlignment="1" applyProtection="1">
      <alignment horizontal="center"/>
      <protection locked="0"/>
    </xf>
    <xf numFmtId="166" fontId="16" fillId="0" borderId="4" xfId="4" applyFont="1" applyFill="1" applyBorder="1" applyAlignment="1" applyProtection="1">
      <protection locked="0"/>
    </xf>
    <xf numFmtId="0" fontId="13" fillId="0" borderId="7" xfId="0" applyFont="1" applyBorder="1" applyAlignment="1">
      <alignment horizontal="center"/>
    </xf>
    <xf numFmtId="0" fontId="13" fillId="0" borderId="9" xfId="0" applyFont="1" applyBorder="1" applyAlignment="1">
      <alignment horizontal="center"/>
    </xf>
    <xf numFmtId="0" fontId="13" fillId="0" borderId="8" xfId="0" applyFont="1" applyBorder="1" applyAlignment="1">
      <alignment horizontal="center"/>
    </xf>
    <xf numFmtId="0" fontId="12" fillId="0" borderId="4" xfId="0" applyFont="1" applyFill="1" applyBorder="1"/>
    <xf numFmtId="0" fontId="17" fillId="0" borderId="11" xfId="0" applyFont="1" applyFill="1" applyBorder="1" applyAlignment="1">
      <alignment horizontal="center"/>
    </xf>
    <xf numFmtId="168" fontId="17" fillId="0" borderId="2" xfId="4" applyNumberFormat="1" applyFont="1" applyFill="1" applyBorder="1" applyAlignment="1">
      <alignment horizontal="center"/>
    </xf>
    <xf numFmtId="0" fontId="17" fillId="0" borderId="11" xfId="0" applyFont="1" applyFill="1" applyBorder="1" applyAlignment="1" applyProtection="1">
      <alignment horizontal="center"/>
      <protection locked="0"/>
    </xf>
    <xf numFmtId="0" fontId="17" fillId="0" borderId="12" xfId="0" applyFont="1" applyFill="1" applyBorder="1" applyAlignment="1" applyProtection="1">
      <alignment horizontal="center"/>
      <protection locked="0"/>
    </xf>
    <xf numFmtId="0" fontId="17" fillId="0" borderId="13" xfId="0" applyFont="1" applyFill="1" applyBorder="1" applyAlignment="1" applyProtection="1">
      <alignment horizontal="center"/>
      <protection locked="0"/>
    </xf>
    <xf numFmtId="0" fontId="13" fillId="0" borderId="3" xfId="0" applyFont="1" applyFill="1" applyBorder="1"/>
    <xf numFmtId="165" fontId="16" fillId="7" borderId="5" xfId="4" applyNumberFormat="1" applyFont="1" applyFill="1" applyBorder="1" applyProtection="1">
      <protection locked="0"/>
    </xf>
    <xf numFmtId="0" fontId="16" fillId="0" borderId="14" xfId="0" applyFont="1" applyFill="1" applyBorder="1" applyAlignment="1" applyProtection="1">
      <alignment horizontal="center"/>
      <protection locked="0"/>
    </xf>
    <xf numFmtId="0" fontId="16" fillId="0" borderId="15" xfId="0" applyFont="1" applyFill="1" applyBorder="1" applyAlignment="1" applyProtection="1">
      <alignment horizontal="center"/>
      <protection locked="0"/>
    </xf>
    <xf numFmtId="0" fontId="16" fillId="0" borderId="16" xfId="0" applyFont="1" applyFill="1" applyBorder="1" applyAlignment="1" applyProtection="1">
      <alignment horizontal="center"/>
      <protection locked="0"/>
    </xf>
    <xf numFmtId="0" fontId="16" fillId="0" borderId="10" xfId="0" applyFont="1" applyFill="1" applyBorder="1" applyAlignment="1" applyProtection="1">
      <alignment horizontal="center"/>
      <protection locked="0"/>
    </xf>
    <xf numFmtId="0" fontId="16" fillId="0" borderId="9" xfId="0" applyFont="1" applyFill="1" applyBorder="1" applyAlignment="1" applyProtection="1">
      <alignment horizontal="center"/>
      <protection locked="0"/>
    </xf>
    <xf numFmtId="0" fontId="16" fillId="0" borderId="17" xfId="0" applyFont="1" applyFill="1" applyBorder="1" applyAlignment="1" applyProtection="1">
      <alignment horizontal="center"/>
      <protection locked="0"/>
    </xf>
    <xf numFmtId="0" fontId="20" fillId="0" borderId="0" xfId="0" applyFont="1" applyFill="1" applyBorder="1" applyAlignment="1">
      <alignment wrapText="1"/>
    </xf>
    <xf numFmtId="0" fontId="13" fillId="0" borderId="7" xfId="0" applyFont="1" applyFill="1" applyBorder="1" applyAlignment="1"/>
    <xf numFmtId="167" fontId="16" fillId="0" borderId="7" xfId="0" applyNumberFormat="1" applyFont="1" applyFill="1" applyBorder="1"/>
    <xf numFmtId="167" fontId="13" fillId="0" borderId="7" xfId="0" applyNumberFormat="1" applyFont="1" applyFill="1" applyBorder="1"/>
    <xf numFmtId="0" fontId="16" fillId="0" borderId="18" xfId="0" applyFont="1" applyFill="1" applyBorder="1" applyAlignment="1" applyProtection="1">
      <alignment horizontal="center"/>
      <protection locked="0"/>
    </xf>
    <xf numFmtId="0" fontId="16" fillId="0" borderId="19" xfId="0" applyFont="1" applyFill="1" applyBorder="1" applyAlignment="1" applyProtection="1">
      <alignment horizontal="center"/>
      <protection locked="0"/>
    </xf>
    <xf numFmtId="0" fontId="16" fillId="0" borderId="20" xfId="0" applyFont="1" applyFill="1" applyBorder="1" applyAlignment="1" applyProtection="1">
      <alignment horizontal="center"/>
      <protection locked="0"/>
    </xf>
    <xf numFmtId="0" fontId="13" fillId="0" borderId="0" xfId="0" applyFont="1" applyFill="1" applyBorder="1"/>
    <xf numFmtId="169" fontId="16" fillId="0" borderId="0" xfId="0" applyNumberFormat="1" applyFont="1" applyFill="1" applyBorder="1"/>
    <xf numFmtId="0" fontId="16" fillId="0" borderId="0" xfId="0" applyFont="1" applyFill="1" applyBorder="1"/>
    <xf numFmtId="0" fontId="16" fillId="0" borderId="0" xfId="0" applyFont="1" applyFill="1" applyBorder="1" applyProtection="1">
      <protection locked="0"/>
    </xf>
    <xf numFmtId="0" fontId="16" fillId="0" borderId="0" xfId="0" applyFont="1" applyFill="1" applyProtection="1">
      <protection locked="0"/>
    </xf>
    <xf numFmtId="0" fontId="13" fillId="0" borderId="3" xfId="0" applyFont="1" applyBorder="1"/>
    <xf numFmtId="10" fontId="16" fillId="0" borderId="3" xfId="5" applyNumberFormat="1" applyFont="1" applyBorder="1"/>
    <xf numFmtId="0" fontId="13" fillId="0" borderId="3" xfId="0" applyFont="1" applyBorder="1" applyAlignment="1">
      <alignment horizontal="right"/>
    </xf>
    <xf numFmtId="0" fontId="12" fillId="0" borderId="3" xfId="0" applyFont="1" applyFill="1" applyBorder="1"/>
    <xf numFmtId="0" fontId="13" fillId="0" borderId="1" xfId="0" applyFont="1" applyBorder="1"/>
    <xf numFmtId="10" fontId="16" fillId="0" borderId="1" xfId="5" applyNumberFormat="1" applyFont="1" applyBorder="1"/>
    <xf numFmtId="0" fontId="16" fillId="0" borderId="1" xfId="0" applyFont="1" applyBorder="1"/>
    <xf numFmtId="0" fontId="12" fillId="0" borderId="1" xfId="0" applyFont="1" applyFill="1" applyBorder="1"/>
    <xf numFmtId="0" fontId="13" fillId="0" borderId="1" xfId="0" applyFont="1" applyBorder="1" applyAlignment="1">
      <alignment horizontal="left" indent="1"/>
    </xf>
    <xf numFmtId="10" fontId="16" fillId="6" borderId="1" xfId="5" applyNumberFormat="1" applyFont="1" applyFill="1" applyBorder="1" applyProtection="1">
      <protection locked="0"/>
    </xf>
    <xf numFmtId="38" fontId="16" fillId="6" borderId="1" xfId="4" applyNumberFormat="1" applyFont="1" applyFill="1" applyBorder="1" applyProtection="1">
      <protection locked="0"/>
    </xf>
    <xf numFmtId="165" fontId="16" fillId="0" borderId="1" xfId="0" applyNumberFormat="1" applyFont="1" applyBorder="1"/>
    <xf numFmtId="0" fontId="22" fillId="8" borderId="0" xfId="6" applyFont="1" applyFill="1" applyAlignment="1">
      <alignment horizontal="center" vertical="center" wrapText="1"/>
    </xf>
    <xf numFmtId="0" fontId="12" fillId="0" borderId="21" xfId="0" applyFont="1" applyFill="1" applyBorder="1"/>
    <xf numFmtId="10" fontId="16" fillId="0" borderId="1" xfId="5" applyNumberFormat="1" applyFont="1" applyFill="1" applyBorder="1"/>
    <xf numFmtId="167" fontId="13" fillId="0" borderId="1" xfId="0" applyNumberFormat="1" applyFont="1" applyFill="1" applyBorder="1"/>
    <xf numFmtId="0" fontId="17" fillId="0" borderId="7" xfId="0" applyFont="1" applyFill="1" applyBorder="1" applyAlignment="1">
      <alignment horizontal="center"/>
    </xf>
    <xf numFmtId="0" fontId="17" fillId="0" borderId="8" xfId="0" applyFont="1" applyFill="1" applyBorder="1" applyAlignment="1">
      <alignment horizontal="center"/>
    </xf>
    <xf numFmtId="167" fontId="16" fillId="0" borderId="7" xfId="0" applyNumberFormat="1" applyFont="1" applyBorder="1"/>
    <xf numFmtId="0" fontId="12" fillId="0" borderId="1" xfId="0" applyFont="1" applyBorder="1"/>
    <xf numFmtId="0" fontId="13" fillId="0" borderId="7" xfId="0" applyFont="1" applyFill="1" applyBorder="1" applyAlignment="1">
      <alignment horizontal="center"/>
    </xf>
    <xf numFmtId="0" fontId="13" fillId="0" borderId="9" xfId="0" applyFont="1" applyFill="1" applyBorder="1" applyAlignment="1">
      <alignment horizontal="center"/>
    </xf>
    <xf numFmtId="0" fontId="13" fillId="0" borderId="8" xfId="0" applyFont="1" applyFill="1" applyBorder="1" applyAlignment="1">
      <alignment horizontal="center"/>
    </xf>
    <xf numFmtId="0" fontId="12" fillId="0" borderId="3" xfId="0" applyFont="1" applyBorder="1"/>
    <xf numFmtId="0" fontId="23" fillId="0" borderId="0" xfId="0" applyFont="1" applyFill="1"/>
    <xf numFmtId="0" fontId="13" fillId="0" borderId="0" xfId="0" applyFont="1" applyFill="1"/>
    <xf numFmtId="49" fontId="17" fillId="4" borderId="2" xfId="2" applyFont="1" applyFill="1" applyBorder="1">
      <alignment wrapText="1"/>
    </xf>
    <xf numFmtId="0" fontId="16" fillId="0" borderId="0" xfId="0" applyFont="1"/>
    <xf numFmtId="0" fontId="16" fillId="0" borderId="3" xfId="0" applyFont="1" applyFill="1" applyBorder="1"/>
    <xf numFmtId="165" fontId="16" fillId="0" borderId="3" xfId="0" applyNumberFormat="1" applyFont="1" applyFill="1" applyBorder="1"/>
    <xf numFmtId="0" fontId="20" fillId="0" borderId="0" xfId="0" applyFont="1"/>
    <xf numFmtId="0" fontId="16" fillId="0" borderId="0" xfId="0" applyFont="1" applyProtection="1">
      <protection locked="0"/>
    </xf>
    <xf numFmtId="0" fontId="16" fillId="0" borderId="1" xfId="0" quotePrefix="1" applyFont="1" applyFill="1" applyBorder="1"/>
    <xf numFmtId="165" fontId="16" fillId="0" borderId="1" xfId="0" applyNumberFormat="1" applyFont="1" applyFill="1" applyBorder="1"/>
    <xf numFmtId="0" fontId="24" fillId="0" borderId="0" xfId="0" applyFont="1"/>
    <xf numFmtId="0" fontId="6" fillId="0" borderId="0" xfId="0" applyFont="1" applyFill="1"/>
    <xf numFmtId="0" fontId="27" fillId="0" borderId="0" xfId="0" applyFont="1" applyFill="1"/>
    <xf numFmtId="0" fontId="27" fillId="0" borderId="0" xfId="0" applyFont="1" applyFill="1" applyBorder="1"/>
    <xf numFmtId="0" fontId="27" fillId="0" borderId="0" xfId="0" applyFont="1"/>
    <xf numFmtId="0" fontId="6" fillId="0" borderId="0" xfId="0" applyFont="1" applyFill="1" applyBorder="1" applyAlignment="1">
      <alignment horizontal="left"/>
    </xf>
    <xf numFmtId="0" fontId="28" fillId="0" borderId="0" xfId="0" applyFont="1" applyFill="1" applyBorder="1" applyAlignment="1">
      <alignment vertical="center"/>
    </xf>
    <xf numFmtId="0" fontId="28" fillId="0" borderId="0" xfId="0" applyFont="1" applyFill="1" applyBorder="1" applyAlignment="1">
      <alignment horizontal="left"/>
    </xf>
    <xf numFmtId="0" fontId="6" fillId="0" borderId="0" xfId="0" applyFont="1" applyFill="1" applyBorder="1" applyAlignment="1">
      <alignment vertical="center"/>
    </xf>
    <xf numFmtId="0" fontId="29" fillId="0" borderId="0" xfId="0" applyFont="1" applyBorder="1" applyAlignment="1"/>
    <xf numFmtId="0" fontId="29" fillId="0" borderId="0" xfId="0" applyFont="1" applyFill="1"/>
    <xf numFmtId="0" fontId="29" fillId="0" borderId="0" xfId="0" applyFont="1" applyFill="1" applyBorder="1"/>
    <xf numFmtId="49" fontId="30" fillId="4" borderId="22" xfId="2" applyFont="1" applyFill="1" applyBorder="1">
      <alignment wrapText="1"/>
    </xf>
    <xf numFmtId="49" fontId="31" fillId="4" borderId="2" xfId="2" applyFont="1" applyFill="1" applyBorder="1">
      <alignment wrapText="1"/>
    </xf>
    <xf numFmtId="0" fontId="31" fillId="4" borderId="2" xfId="2" applyNumberFormat="1" applyFont="1" applyFill="1" applyBorder="1">
      <alignment wrapText="1"/>
    </xf>
    <xf numFmtId="0" fontId="29" fillId="0" borderId="3" xfId="0" applyFont="1" applyFill="1" applyBorder="1"/>
    <xf numFmtId="170" fontId="29" fillId="7" borderId="3" xfId="0" applyNumberFormat="1" applyFont="1" applyFill="1" applyBorder="1" applyProtection="1">
      <protection locked="0"/>
    </xf>
    <xf numFmtId="2" fontId="29" fillId="7" borderId="3" xfId="3" applyNumberFormat="1" applyFont="1" applyFill="1" applyBorder="1" applyProtection="1">
      <protection locked="0"/>
    </xf>
    <xf numFmtId="37" fontId="29" fillId="7" borderId="3" xfId="4" applyNumberFormat="1" applyFont="1" applyFill="1" applyBorder="1" applyProtection="1">
      <protection locked="0"/>
    </xf>
    <xf numFmtId="167" fontId="29" fillId="0" borderId="3" xfId="0" applyNumberFormat="1" applyFont="1" applyFill="1" applyBorder="1"/>
    <xf numFmtId="165" fontId="29" fillId="6" borderId="3" xfId="3" applyNumberFormat="1" applyFont="1" applyFill="1" applyBorder="1" applyProtection="1">
      <protection locked="0"/>
    </xf>
    <xf numFmtId="167" fontId="29" fillId="0" borderId="3" xfId="3" applyNumberFormat="1" applyFont="1" applyFill="1" applyBorder="1"/>
    <xf numFmtId="0" fontId="29" fillId="0" borderId="1" xfId="0" applyFont="1" applyFill="1" applyBorder="1"/>
    <xf numFmtId="170" fontId="29" fillId="7" borderId="1" xfId="0" applyNumberFormat="1" applyFont="1" applyFill="1" applyBorder="1" applyProtection="1">
      <protection locked="0"/>
    </xf>
    <xf numFmtId="2" fontId="29" fillId="7" borderId="1" xfId="3" applyNumberFormat="1" applyFont="1" applyFill="1" applyBorder="1" applyProtection="1">
      <protection locked="0"/>
    </xf>
    <xf numFmtId="37" fontId="29" fillId="7" borderId="1" xfId="4" applyNumberFormat="1" applyFont="1" applyFill="1" applyBorder="1" applyProtection="1">
      <protection locked="0"/>
    </xf>
    <xf numFmtId="167" fontId="29" fillId="0" borderId="1" xfId="0" applyNumberFormat="1" applyFont="1" applyFill="1" applyBorder="1"/>
    <xf numFmtId="165" fontId="29" fillId="6" borderId="1" xfId="3" applyNumberFormat="1" applyFont="1" applyFill="1" applyBorder="1" applyProtection="1">
      <protection locked="0"/>
    </xf>
    <xf numFmtId="167" fontId="29" fillId="0" borderId="1" xfId="3" applyNumberFormat="1" applyFont="1" applyFill="1" applyBorder="1"/>
    <xf numFmtId="0" fontId="6" fillId="0" borderId="1" xfId="0" applyFont="1" applyFill="1" applyBorder="1"/>
    <xf numFmtId="170" fontId="6" fillId="0" borderId="1" xfId="0" applyNumberFormat="1" applyFont="1" applyFill="1" applyBorder="1"/>
    <xf numFmtId="164" fontId="29" fillId="0" borderId="1" xfId="3" applyNumberFormat="1" applyFont="1" applyFill="1" applyBorder="1" applyAlignment="1">
      <alignment horizontal="center"/>
    </xf>
    <xf numFmtId="37" fontId="29" fillId="0" borderId="1" xfId="0" applyNumberFormat="1" applyFont="1" applyFill="1" applyBorder="1"/>
    <xf numFmtId="0" fontId="6" fillId="9" borderId="1" xfId="0" applyFont="1" applyFill="1" applyBorder="1"/>
    <xf numFmtId="0" fontId="29" fillId="9" borderId="1" xfId="0" applyFont="1" applyFill="1" applyBorder="1" applyAlignment="1">
      <alignment horizontal="center"/>
    </xf>
    <xf numFmtId="0" fontId="29" fillId="9" borderId="1" xfId="0" applyFont="1" applyFill="1" applyBorder="1"/>
    <xf numFmtId="0" fontId="27" fillId="9" borderId="1" xfId="0" applyFont="1" applyFill="1" applyBorder="1"/>
    <xf numFmtId="164" fontId="29" fillId="9" borderId="1" xfId="3" applyFont="1" applyFill="1" applyBorder="1"/>
    <xf numFmtId="10" fontId="29" fillId="6" borderId="3" xfId="5" applyNumberFormat="1" applyFont="1" applyFill="1" applyBorder="1" applyProtection="1">
      <protection locked="0"/>
    </xf>
    <xf numFmtId="10" fontId="29" fillId="0" borderId="3" xfId="5" applyNumberFormat="1" applyFont="1" applyFill="1" applyBorder="1" applyProtection="1">
      <protection locked="0"/>
    </xf>
    <xf numFmtId="167" fontId="29" fillId="0" borderId="3" xfId="5" applyNumberFormat="1" applyFont="1" applyFill="1" applyBorder="1" applyProtection="1"/>
    <xf numFmtId="0" fontId="29" fillId="0" borderId="1" xfId="0" quotePrefix="1" applyFont="1" applyFill="1" applyBorder="1" applyAlignment="1">
      <alignment horizontal="right"/>
    </xf>
    <xf numFmtId="10" fontId="29" fillId="6" borderId="1" xfId="5" applyNumberFormat="1" applyFont="1" applyFill="1" applyBorder="1" applyProtection="1">
      <protection locked="0"/>
    </xf>
    <xf numFmtId="10" fontId="29" fillId="0" borderId="1" xfId="5" applyNumberFormat="1" applyFont="1" applyFill="1" applyBorder="1" applyProtection="1">
      <protection locked="0"/>
    </xf>
    <xf numFmtId="167" fontId="29" fillId="0" borderId="1" xfId="5" applyNumberFormat="1" applyFont="1" applyFill="1" applyBorder="1" applyProtection="1"/>
    <xf numFmtId="167" fontId="29" fillId="0" borderId="1" xfId="0" applyNumberFormat="1" applyFont="1" applyFill="1" applyBorder="1" applyAlignment="1">
      <alignment horizontal="right"/>
    </xf>
    <xf numFmtId="10" fontId="29" fillId="0" borderId="1" xfId="0" applyNumberFormat="1" applyFont="1" applyFill="1" applyBorder="1" applyProtection="1">
      <protection locked="0"/>
    </xf>
    <xf numFmtId="10" fontId="29" fillId="0" borderId="1" xfId="0" applyNumberFormat="1" applyFont="1" applyFill="1" applyBorder="1" applyAlignment="1">
      <alignment horizontal="center"/>
    </xf>
    <xf numFmtId="0" fontId="29" fillId="0" borderId="1" xfId="0" applyFont="1" applyFill="1" applyBorder="1" applyAlignment="1">
      <alignment horizontal="center"/>
    </xf>
    <xf numFmtId="167" fontId="6" fillId="0" borderId="1" xfId="0" applyNumberFormat="1" applyFont="1" applyFill="1" applyBorder="1"/>
    <xf numFmtId="0" fontId="32" fillId="0" borderId="0" xfId="0" applyFont="1" applyFill="1" applyBorder="1"/>
    <xf numFmtId="0" fontId="33" fillId="0" borderId="0" xfId="0" applyFont="1" applyFill="1" applyBorder="1"/>
    <xf numFmtId="9" fontId="27" fillId="0" borderId="0" xfId="0" applyNumberFormat="1" applyFont="1" applyFill="1" applyBorder="1" applyAlignment="1" applyProtection="1">
      <alignment horizontal="center" vertical="center"/>
      <protection locked="0"/>
    </xf>
    <xf numFmtId="167" fontId="27" fillId="0" borderId="0" xfId="0" applyNumberFormat="1" applyFont="1" applyFill="1" applyBorder="1"/>
    <xf numFmtId="0" fontId="37" fillId="0" borderId="0" xfId="0" applyFont="1" applyFill="1" applyBorder="1"/>
    <xf numFmtId="0" fontId="38" fillId="0" borderId="0" xfId="0" applyFont="1" applyFill="1" applyBorder="1" applyAlignment="1">
      <alignment horizontal="center" vertical="center"/>
    </xf>
    <xf numFmtId="0" fontId="6" fillId="0" borderId="0" xfId="0" applyFont="1" applyFill="1" applyBorder="1" applyAlignment="1">
      <alignment vertical="center"/>
    </xf>
    <xf numFmtId="0" fontId="29" fillId="0" borderId="0" xfId="0" applyFont="1" applyFill="1" applyBorder="1" applyAlignment="1">
      <alignment vertical="center"/>
    </xf>
    <xf numFmtId="0" fontId="29" fillId="0" borderId="0" xfId="0" applyFont="1" applyFill="1" applyBorder="1" applyAlignment="1">
      <alignment vertical="center"/>
    </xf>
    <xf numFmtId="0" fontId="29" fillId="0" borderId="0" xfId="0" applyFont="1" applyFill="1" applyBorder="1" applyAlignment="1">
      <alignment horizontal="left"/>
    </xf>
    <xf numFmtId="165" fontId="29" fillId="0" borderId="0" xfId="3" applyNumberFormat="1" applyFont="1" applyFill="1" applyBorder="1" applyProtection="1">
      <protection locked="0"/>
    </xf>
    <xf numFmtId="167" fontId="32" fillId="0" borderId="0" xfId="3" applyNumberFormat="1" applyFont="1" applyFill="1" applyBorder="1"/>
    <xf numFmtId="49" fontId="31" fillId="4" borderId="2" xfId="2" applyFont="1" applyFill="1" applyBorder="1" applyProtection="1">
      <alignment wrapText="1"/>
    </xf>
    <xf numFmtId="0" fontId="38" fillId="0" borderId="0" xfId="0" applyFont="1" applyFill="1" applyBorder="1"/>
    <xf numFmtId="165" fontId="29" fillId="0" borderId="3" xfId="3" applyNumberFormat="1" applyFont="1" applyFill="1" applyBorder="1"/>
    <xf numFmtId="171" fontId="29" fillId="6" borderId="3" xfId="0" applyNumberFormat="1" applyFont="1" applyFill="1" applyBorder="1" applyProtection="1">
      <protection locked="0"/>
    </xf>
    <xf numFmtId="165" fontId="29" fillId="0" borderId="3" xfId="4" applyNumberFormat="1" applyFont="1" applyFill="1" applyBorder="1" applyProtection="1"/>
    <xf numFmtId="0" fontId="6" fillId="0" borderId="0" xfId="0" applyFont="1" applyFill="1" applyBorder="1"/>
    <xf numFmtId="165" fontId="29" fillId="0" borderId="1" xfId="3" applyNumberFormat="1" applyFont="1" applyFill="1" applyBorder="1"/>
    <xf numFmtId="171" fontId="29" fillId="6" borderId="1" xfId="0" applyNumberFormat="1" applyFont="1" applyFill="1" applyBorder="1" applyProtection="1">
      <protection locked="0"/>
    </xf>
    <xf numFmtId="165" fontId="29" fillId="0" borderId="1" xfId="4" applyNumberFormat="1" applyFont="1" applyFill="1" applyBorder="1" applyProtection="1"/>
    <xf numFmtId="164" fontId="29" fillId="0" borderId="0" xfId="3" applyFont="1" applyFill="1" applyBorder="1"/>
    <xf numFmtId="171" fontId="29" fillId="0" borderId="1" xfId="0" applyNumberFormat="1" applyFont="1" applyFill="1" applyBorder="1" applyProtection="1">
      <protection locked="0"/>
    </xf>
    <xf numFmtId="167" fontId="29" fillId="0" borderId="1" xfId="4" applyNumberFormat="1" applyFont="1" applyFill="1" applyBorder="1" applyProtection="1"/>
    <xf numFmtId="164" fontId="29" fillId="0" borderId="1" xfId="3" applyFont="1" applyFill="1" applyBorder="1"/>
    <xf numFmtId="49" fontId="31" fillId="4" borderId="2" xfId="2" applyFont="1" applyFill="1" applyBorder="1" applyProtection="1">
      <alignment wrapText="1"/>
      <protection locked="0"/>
    </xf>
    <xf numFmtId="169" fontId="32" fillId="0" borderId="0" xfId="0" applyNumberFormat="1" applyFont="1" applyFill="1" applyBorder="1"/>
    <xf numFmtId="167" fontId="32" fillId="0" borderId="0" xfId="0" applyNumberFormat="1" applyFont="1" applyFill="1" applyBorder="1"/>
    <xf numFmtId="164" fontId="32" fillId="0" borderId="0" xfId="0" applyNumberFormat="1" applyFont="1" applyFill="1" applyBorder="1"/>
    <xf numFmtId="164" fontId="38" fillId="0" borderId="0" xfId="0" applyNumberFormat="1" applyFont="1" applyFill="1" applyBorder="1"/>
    <xf numFmtId="167" fontId="6" fillId="0" borderId="1" xfId="4" applyNumberFormat="1" applyFont="1" applyFill="1" applyBorder="1" applyProtection="1"/>
    <xf numFmtId="171" fontId="29" fillId="0" borderId="0" xfId="0" applyNumberFormat="1" applyFont="1" applyFill="1" applyBorder="1" applyProtection="1"/>
    <xf numFmtId="165" fontId="29" fillId="0" borderId="0" xfId="4" applyNumberFormat="1" applyFont="1" applyFill="1" applyBorder="1" applyProtection="1"/>
    <xf numFmtId="0" fontId="38" fillId="0" borderId="0" xfId="0" applyFont="1" applyFill="1" applyBorder="1" applyAlignment="1">
      <alignment horizontal="center" vertical="center" wrapText="1"/>
    </xf>
    <xf numFmtId="170" fontId="29" fillId="0" borderId="0" xfId="0" applyNumberFormat="1" applyFont="1" applyFill="1" applyBorder="1" applyProtection="1">
      <protection locked="0"/>
    </xf>
    <xf numFmtId="167" fontId="32" fillId="0" borderId="0" xfId="3" applyNumberFormat="1" applyFont="1" applyFill="1" applyBorder="1" applyAlignment="1">
      <alignment horizontal="center"/>
    </xf>
    <xf numFmtId="167" fontId="32" fillId="0" borderId="0" xfId="0" applyNumberFormat="1" applyFont="1" applyFill="1" applyBorder="1" applyProtection="1"/>
    <xf numFmtId="0" fontId="29" fillId="0" borderId="0" xfId="0" applyFont="1" applyFill="1" applyBorder="1" applyAlignment="1">
      <alignment horizontal="center"/>
    </xf>
    <xf numFmtId="0" fontId="38" fillId="0" borderId="0" xfId="0" applyFont="1" applyFill="1" applyBorder="1" applyAlignment="1">
      <alignment horizontal="center" wrapText="1"/>
    </xf>
    <xf numFmtId="10" fontId="29" fillId="0" borderId="0" xfId="5" applyNumberFormat="1" applyFont="1" applyFill="1" applyBorder="1" applyProtection="1">
      <protection locked="0"/>
    </xf>
    <xf numFmtId="10" fontId="32" fillId="0" borderId="0" xfId="0" applyNumberFormat="1" applyFont="1" applyFill="1" applyBorder="1" applyAlignment="1">
      <alignment horizontal="center"/>
    </xf>
    <xf numFmtId="0" fontId="32" fillId="0" borderId="0" xfId="0" applyFont="1" applyFill="1" applyBorder="1" applyAlignment="1">
      <alignment horizontal="center"/>
    </xf>
    <xf numFmtId="0" fontId="6" fillId="0" borderId="0" xfId="0" applyFont="1" applyFill="1" applyBorder="1" applyAlignment="1">
      <alignment horizontal="left" vertical="center"/>
    </xf>
    <xf numFmtId="0" fontId="27" fillId="0" borderId="0" xfId="0" applyFont="1" applyFill="1" applyProtection="1"/>
    <xf numFmtId="0" fontId="27" fillId="0" borderId="0" xfId="0" applyFont="1" applyFill="1" applyProtection="1">
      <protection locked="0"/>
    </xf>
    <xf numFmtId="0" fontId="31" fillId="0" borderId="2" xfId="0" applyFont="1" applyFill="1" applyBorder="1" applyAlignment="1">
      <alignment horizontal="left"/>
    </xf>
    <xf numFmtId="0" fontId="6" fillId="0" borderId="3" xfId="0" applyFont="1" applyFill="1" applyBorder="1" applyAlignment="1">
      <alignment horizontal="center" vertical="center" wrapText="1"/>
    </xf>
    <xf numFmtId="0" fontId="6" fillId="0" borderId="3" xfId="0" applyFont="1" applyFill="1" applyBorder="1" applyAlignment="1">
      <alignment horizontal="center" wrapText="1"/>
    </xf>
    <xf numFmtId="0" fontId="39" fillId="0" borderId="3" xfId="6" applyFont="1" applyFill="1" applyBorder="1" applyAlignment="1">
      <alignment horizontal="center" vertical="center" wrapText="1"/>
    </xf>
    <xf numFmtId="0" fontId="6" fillId="0" borderId="1" xfId="0" applyFont="1" applyFill="1" applyBorder="1" applyAlignment="1">
      <alignment horizontal="center" wrapText="1"/>
    </xf>
    <xf numFmtId="0" fontId="40" fillId="0" borderId="0" xfId="0" applyFont="1" applyFill="1" applyBorder="1" applyAlignment="1">
      <alignment horizontal="center"/>
    </xf>
    <xf numFmtId="0" fontId="41" fillId="0" borderId="0" xfId="6" applyFont="1" applyFill="1" applyBorder="1" applyAlignment="1">
      <alignment vertical="center"/>
    </xf>
    <xf numFmtId="0" fontId="29" fillId="7" borderId="1" xfId="0" applyFont="1" applyFill="1" applyBorder="1" applyAlignment="1" applyProtection="1">
      <alignment horizontal="right" vertical="center"/>
      <protection locked="0"/>
    </xf>
    <xf numFmtId="164" fontId="29" fillId="7" borderId="1" xfId="0" applyNumberFormat="1" applyFont="1" applyFill="1" applyBorder="1" applyAlignment="1" applyProtection="1">
      <alignment horizontal="right" vertical="center"/>
      <protection locked="0"/>
    </xf>
    <xf numFmtId="164" fontId="27" fillId="7" borderId="1" xfId="0" applyNumberFormat="1" applyFont="1" applyFill="1" applyBorder="1" applyProtection="1">
      <protection locked="0"/>
    </xf>
    <xf numFmtId="164" fontId="6" fillId="0" borderId="1" xfId="0" applyNumberFormat="1" applyFont="1" applyFill="1" applyBorder="1"/>
    <xf numFmtId="9" fontId="32" fillId="0" borderId="0" xfId="0" applyNumberFormat="1" applyFont="1" applyFill="1" applyBorder="1"/>
    <xf numFmtId="0" fontId="42" fillId="0" borderId="0" xfId="0" applyFont="1" applyFill="1" applyBorder="1" applyAlignment="1" applyProtection="1">
      <alignment horizontal="center" vertical="center"/>
    </xf>
    <xf numFmtId="0" fontId="33" fillId="0" borderId="3" xfId="0" applyFont="1" applyFill="1" applyBorder="1" applyAlignment="1" applyProtection="1">
      <alignment horizontal="right" vertical="center"/>
    </xf>
    <xf numFmtId="168" fontId="27" fillId="0" borderId="3" xfId="4" applyNumberFormat="1" applyFont="1" applyFill="1" applyBorder="1" applyAlignment="1" applyProtection="1">
      <alignment horizontal="right" vertical="center"/>
      <protection locked="0"/>
    </xf>
    <xf numFmtId="0" fontId="6" fillId="0" borderId="3" xfId="0" applyFont="1" applyFill="1" applyBorder="1" applyAlignment="1">
      <alignment horizontal="right" vertical="center"/>
    </xf>
    <xf numFmtId="0" fontId="27" fillId="0" borderId="1" xfId="0" applyFont="1" applyFill="1" applyBorder="1" applyAlignment="1" applyProtection="1">
      <alignment horizontal="right" vertical="center"/>
    </xf>
    <xf numFmtId="37" fontId="27" fillId="7" borderId="1" xfId="4" applyNumberFormat="1" applyFont="1" applyFill="1" applyBorder="1" applyAlignment="1" applyProtection="1">
      <alignment horizontal="right" vertical="center"/>
      <protection locked="0"/>
    </xf>
    <xf numFmtId="37" fontId="6" fillId="0" borderId="21" xfId="0" applyNumberFormat="1" applyFont="1" applyFill="1" applyBorder="1" applyAlignment="1">
      <alignment horizontal="right" vertical="center"/>
    </xf>
    <xf numFmtId="171" fontId="6" fillId="0" borderId="1" xfId="0" applyNumberFormat="1" applyFont="1" applyFill="1" applyBorder="1" applyAlignment="1">
      <alignment horizontal="right" vertical="center"/>
    </xf>
    <xf numFmtId="0" fontId="27" fillId="0" borderId="21" xfId="0" quotePrefix="1" applyFont="1" applyFill="1" applyBorder="1" applyAlignment="1" applyProtection="1">
      <alignment horizontal="right" vertical="center"/>
    </xf>
    <xf numFmtId="165" fontId="27" fillId="9" borderId="21" xfId="4" applyNumberFormat="1" applyFont="1" applyFill="1" applyBorder="1" applyAlignment="1" applyProtection="1">
      <alignment horizontal="right" vertical="center"/>
    </xf>
    <xf numFmtId="167" fontId="6" fillId="0" borderId="21" xfId="0" applyNumberFormat="1" applyFont="1" applyFill="1" applyBorder="1" applyAlignment="1">
      <alignment horizontal="right" vertical="center"/>
    </xf>
    <xf numFmtId="171" fontId="6" fillId="0" borderId="1" xfId="0" applyNumberFormat="1" applyFont="1" applyFill="1" applyBorder="1"/>
    <xf numFmtId="0" fontId="27" fillId="0" borderId="1" xfId="0" quotePrefix="1" applyFont="1" applyFill="1" applyBorder="1" applyAlignment="1" applyProtection="1">
      <alignment horizontal="right" vertical="center"/>
    </xf>
    <xf numFmtId="165" fontId="27" fillId="9" borderId="1" xfId="4" applyNumberFormat="1" applyFont="1" applyFill="1" applyBorder="1" applyAlignment="1" applyProtection="1">
      <alignment horizontal="right" vertical="center"/>
    </xf>
    <xf numFmtId="0" fontId="27" fillId="9" borderId="7" xfId="0" quotePrefix="1" applyFont="1" applyFill="1" applyBorder="1" applyAlignment="1" applyProtection="1">
      <alignment horizontal="right" vertical="center"/>
    </xf>
    <xf numFmtId="166" fontId="27" fillId="9" borderId="9" xfId="4" applyNumberFormat="1" applyFont="1" applyFill="1" applyBorder="1" applyAlignment="1" applyProtection="1">
      <alignment horizontal="right" vertical="center"/>
    </xf>
    <xf numFmtId="166" fontId="27" fillId="9" borderId="9" xfId="4" applyNumberFormat="1" applyFont="1" applyFill="1" applyBorder="1" applyAlignment="1" applyProtection="1">
      <alignment horizontal="right" vertical="center"/>
      <protection locked="0"/>
    </xf>
    <xf numFmtId="0" fontId="6" fillId="0" borderId="8" xfId="0" applyFont="1" applyFill="1" applyBorder="1" applyAlignment="1">
      <alignment horizontal="right" vertical="center"/>
    </xf>
    <xf numFmtId="9" fontId="6" fillId="0" borderId="1" xfId="0" applyNumberFormat="1" applyFont="1" applyFill="1" applyBorder="1" applyAlignment="1">
      <alignment horizontal="right" vertical="center"/>
    </xf>
    <xf numFmtId="0" fontId="33" fillId="0" borderId="1" xfId="0" applyFont="1" applyFill="1" applyBorder="1" applyAlignment="1" applyProtection="1">
      <alignment horizontal="right" vertical="center"/>
    </xf>
    <xf numFmtId="166" fontId="27" fillId="9" borderId="3" xfId="4" applyNumberFormat="1" applyFont="1" applyFill="1" applyBorder="1" applyAlignment="1" applyProtection="1">
      <alignment horizontal="right" vertical="center"/>
      <protection locked="0"/>
    </xf>
    <xf numFmtId="37" fontId="6" fillId="0" borderId="1" xfId="0" applyNumberFormat="1" applyFont="1" applyFill="1" applyBorder="1" applyAlignment="1">
      <alignment horizontal="right" vertical="center"/>
    </xf>
    <xf numFmtId="0" fontId="29" fillId="0" borderId="1" xfId="0" quotePrefix="1" applyFont="1" applyFill="1" applyBorder="1" applyAlignment="1" applyProtection="1">
      <alignment horizontal="right" vertical="center"/>
    </xf>
    <xf numFmtId="167" fontId="6" fillId="0" borderId="1" xfId="0" applyNumberFormat="1" applyFont="1" applyFill="1" applyBorder="1" applyAlignment="1">
      <alignment horizontal="right" vertical="center"/>
    </xf>
    <xf numFmtId="166" fontId="27" fillId="9" borderId="3" xfId="0" applyNumberFormat="1" applyFont="1" applyFill="1" applyBorder="1" applyAlignment="1" applyProtection="1">
      <alignment horizontal="right" vertical="center"/>
    </xf>
    <xf numFmtId="166" fontId="27" fillId="9" borderId="3" xfId="0" applyNumberFormat="1" applyFont="1" applyFill="1" applyBorder="1" applyAlignment="1">
      <alignment horizontal="right" vertical="center"/>
    </xf>
    <xf numFmtId="165" fontId="29" fillId="9" borderId="1" xfId="4" applyNumberFormat="1" applyFont="1" applyFill="1" applyBorder="1" applyAlignment="1" applyProtection="1">
      <alignment horizontal="right" vertical="center"/>
    </xf>
    <xf numFmtId="0" fontId="27" fillId="0" borderId="7" xfId="0" quotePrefix="1" applyFont="1" applyFill="1" applyBorder="1" applyAlignment="1" applyProtection="1">
      <alignment horizontal="right" vertical="center"/>
    </xf>
    <xf numFmtId="37" fontId="27" fillId="7" borderId="1" xfId="0" applyNumberFormat="1" applyFont="1" applyFill="1" applyBorder="1" applyAlignment="1" applyProtection="1">
      <alignment horizontal="right" vertical="center"/>
      <protection locked="0"/>
    </xf>
    <xf numFmtId="166" fontId="27" fillId="9" borderId="9" xfId="0" applyNumberFormat="1" applyFont="1" applyFill="1" applyBorder="1" applyAlignment="1">
      <alignment horizontal="right" vertical="center"/>
    </xf>
    <xf numFmtId="168" fontId="6" fillId="0" borderId="21" xfId="0" applyNumberFormat="1" applyFont="1" applyFill="1" applyBorder="1" applyAlignment="1">
      <alignment horizontal="right" vertical="center"/>
    </xf>
    <xf numFmtId="165" fontId="27" fillId="0" borderId="1" xfId="4" applyNumberFormat="1" applyFont="1" applyFill="1" applyBorder="1" applyAlignment="1" applyProtection="1">
      <alignment horizontal="right" vertical="center"/>
    </xf>
    <xf numFmtId="166" fontId="27" fillId="0" borderId="9" xfId="4" applyNumberFormat="1" applyFont="1" applyFill="1" applyBorder="1" applyAlignment="1" applyProtection="1">
      <alignment horizontal="right" vertical="center"/>
      <protection locked="0"/>
    </xf>
    <xf numFmtId="166" fontId="27" fillId="0" borderId="3" xfId="4" applyNumberFormat="1" applyFont="1" applyFill="1" applyBorder="1" applyAlignment="1" applyProtection="1">
      <alignment horizontal="right" vertical="center"/>
      <protection locked="0"/>
    </xf>
    <xf numFmtId="165" fontId="29" fillId="0" borderId="1" xfId="4" applyNumberFormat="1" applyFont="1" applyFill="1" applyBorder="1" applyAlignment="1" applyProtection="1">
      <alignment horizontal="right" vertical="center"/>
    </xf>
    <xf numFmtId="0" fontId="29" fillId="0" borderId="21" xfId="0" quotePrefix="1" applyFont="1" applyFill="1" applyBorder="1" applyAlignment="1" applyProtection="1">
      <alignment horizontal="right" vertical="center"/>
    </xf>
    <xf numFmtId="0" fontId="6" fillId="0" borderId="21" xfId="0" quotePrefix="1" applyFont="1" applyFill="1" applyBorder="1" applyAlignment="1" applyProtection="1">
      <alignment horizontal="right" vertical="center"/>
    </xf>
    <xf numFmtId="37" fontId="6" fillId="0" borderId="21" xfId="4" applyNumberFormat="1" applyFont="1" applyFill="1" applyBorder="1" applyAlignment="1" applyProtection="1">
      <alignment horizontal="right" vertical="center"/>
    </xf>
    <xf numFmtId="0" fontId="6" fillId="0" borderId="21" xfId="0" applyFont="1" applyFill="1" applyBorder="1" applyAlignment="1" applyProtection="1">
      <alignment horizontal="right" vertical="center"/>
    </xf>
    <xf numFmtId="167" fontId="6" fillId="0" borderId="21" xfId="0" applyNumberFormat="1" applyFont="1" applyFill="1" applyBorder="1" applyAlignment="1">
      <alignment horizontal="left" vertical="center"/>
    </xf>
    <xf numFmtId="0" fontId="6" fillId="0" borderId="1" xfId="0" applyFont="1" applyFill="1" applyBorder="1" applyAlignment="1" applyProtection="1">
      <alignment horizontal="right" vertical="center"/>
    </xf>
    <xf numFmtId="167" fontId="6" fillId="0" borderId="1" xfId="4" applyNumberFormat="1" applyFont="1" applyFill="1" applyBorder="1" applyAlignment="1">
      <alignment horizontal="left" vertical="center"/>
    </xf>
    <xf numFmtId="167" fontId="6" fillId="0" borderId="1" xfId="0" applyNumberFormat="1" applyFont="1" applyFill="1" applyBorder="1" applyAlignment="1">
      <alignment horizontal="left" vertical="center"/>
    </xf>
    <xf numFmtId="0" fontId="43" fillId="0" borderId="0" xfId="0" applyFont="1"/>
    <xf numFmtId="0" fontId="42"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10" fontId="29" fillId="7" borderId="0" xfId="0" applyNumberFormat="1" applyFont="1" applyFill="1" applyBorder="1" applyAlignment="1" applyProtection="1">
      <alignment horizontal="left" vertical="center"/>
      <protection locked="0"/>
    </xf>
    <xf numFmtId="0" fontId="27" fillId="0" borderId="0" xfId="0" applyFont="1" applyProtection="1"/>
    <xf numFmtId="49" fontId="30" fillId="4" borderId="22" xfId="2" applyFont="1" applyFill="1" applyBorder="1" applyProtection="1">
      <alignment wrapText="1"/>
    </xf>
    <xf numFmtId="37" fontId="27" fillId="7" borderId="1" xfId="4" applyNumberFormat="1" applyFont="1" applyFill="1" applyBorder="1" applyAlignment="1" applyProtection="1">
      <alignment horizontal="right" vertical="center"/>
    </xf>
    <xf numFmtId="37" fontId="27" fillId="6" borderId="1" xfId="4" applyNumberFormat="1" applyFont="1" applyFill="1" applyBorder="1" applyAlignment="1" applyProtection="1">
      <alignment horizontal="right" vertical="center"/>
    </xf>
    <xf numFmtId="167" fontId="27" fillId="0" borderId="1" xfId="0" applyNumberFormat="1" applyFont="1" applyFill="1" applyBorder="1" applyAlignment="1" applyProtection="1">
      <alignment horizontal="right" vertical="center"/>
    </xf>
    <xf numFmtId="165" fontId="27" fillId="7" borderId="1" xfId="4" applyNumberFormat="1" applyFont="1" applyFill="1" applyBorder="1" applyAlignment="1" applyProtection="1">
      <alignment horizontal="right" vertical="center"/>
    </xf>
    <xf numFmtId="165" fontId="27" fillId="6" borderId="1" xfId="4" applyNumberFormat="1" applyFont="1" applyFill="1" applyBorder="1" applyAlignment="1" applyProtection="1">
      <alignment horizontal="right" vertical="center"/>
    </xf>
    <xf numFmtId="0" fontId="27" fillId="9" borderId="9" xfId="0" quotePrefix="1" applyFont="1" applyFill="1" applyBorder="1" applyAlignment="1" applyProtection="1">
      <alignment horizontal="right" vertical="center"/>
    </xf>
    <xf numFmtId="167" fontId="29" fillId="0" borderId="21" xfId="0" quotePrefix="1" applyNumberFormat="1" applyFont="1" applyFill="1" applyBorder="1" applyAlignment="1" applyProtection="1">
      <alignment horizontal="right" vertical="center"/>
    </xf>
    <xf numFmtId="167" fontId="27" fillId="0" borderId="1" xfId="0" quotePrefix="1" applyNumberFormat="1" applyFont="1" applyFill="1" applyBorder="1" applyAlignment="1" applyProtection="1">
      <alignment horizontal="right" vertical="center"/>
    </xf>
    <xf numFmtId="167" fontId="29" fillId="0" borderId="1" xfId="0" quotePrefix="1" applyNumberFormat="1" applyFont="1" applyFill="1" applyBorder="1" applyAlignment="1" applyProtection="1">
      <alignment horizontal="right" vertical="center"/>
    </xf>
    <xf numFmtId="0" fontId="27" fillId="0" borderId="9" xfId="0" quotePrefix="1" applyFont="1" applyFill="1" applyBorder="1" applyAlignment="1" applyProtection="1">
      <alignment horizontal="right" vertical="center"/>
    </xf>
    <xf numFmtId="37" fontId="27" fillId="7" borderId="1" xfId="0" applyNumberFormat="1" applyFont="1" applyFill="1" applyBorder="1" applyAlignment="1" applyProtection="1">
      <alignment horizontal="right" vertical="center"/>
    </xf>
    <xf numFmtId="37" fontId="27" fillId="6" borderId="1" xfId="0" applyNumberFormat="1" applyFont="1" applyFill="1" applyBorder="1" applyAlignment="1" applyProtection="1">
      <alignment horizontal="right" vertical="center"/>
    </xf>
    <xf numFmtId="165" fontId="27" fillId="7" borderId="1" xfId="0" applyNumberFormat="1" applyFont="1" applyFill="1" applyBorder="1" applyAlignment="1" applyProtection="1">
      <alignment horizontal="right" vertical="center"/>
    </xf>
    <xf numFmtId="165" fontId="27" fillId="6" borderId="1" xfId="0" applyNumberFormat="1" applyFont="1" applyFill="1" applyBorder="1" applyAlignment="1" applyProtection="1">
      <alignment horizontal="right" vertical="center"/>
    </xf>
    <xf numFmtId="165" fontId="29" fillId="7" borderId="1" xfId="4" applyNumberFormat="1" applyFont="1" applyFill="1" applyBorder="1" applyAlignment="1" applyProtection="1">
      <alignment horizontal="right" vertical="center"/>
    </xf>
    <xf numFmtId="167" fontId="27" fillId="0" borderId="21" xfId="0" quotePrefix="1" applyNumberFormat="1" applyFont="1" applyFill="1" applyBorder="1" applyAlignment="1" applyProtection="1">
      <alignment horizontal="right" vertical="center"/>
    </xf>
    <xf numFmtId="167" fontId="6" fillId="0" borderId="21" xfId="0" applyNumberFormat="1" applyFont="1" applyFill="1" applyBorder="1" applyAlignment="1" applyProtection="1">
      <alignment horizontal="right" vertical="center"/>
    </xf>
    <xf numFmtId="167" fontId="6" fillId="0" borderId="1" xfId="0" applyNumberFormat="1" applyFont="1" applyFill="1" applyBorder="1" applyAlignment="1" applyProtection="1">
      <alignment horizontal="right" vertical="center"/>
    </xf>
    <xf numFmtId="0" fontId="6" fillId="0" borderId="0" xfId="0" applyFont="1" applyBorder="1" applyAlignment="1"/>
    <xf numFmtId="0" fontId="28" fillId="0" borderId="0" xfId="0" applyFont="1" applyBorder="1" applyAlignment="1"/>
    <xf numFmtId="0" fontId="27" fillId="0" borderId="0" xfId="0" applyFont="1" applyFill="1" applyAlignment="1">
      <alignment horizontal="right"/>
    </xf>
    <xf numFmtId="0" fontId="6" fillId="0" borderId="0" xfId="0" applyFont="1" applyBorder="1" applyAlignment="1">
      <alignment horizontal="left" vertical="center"/>
    </xf>
    <xf numFmtId="0" fontId="29" fillId="0" borderId="0" xfId="0" applyFont="1" applyFill="1" applyBorder="1" applyAlignment="1">
      <alignment horizontal="left" vertical="center"/>
    </xf>
    <xf numFmtId="0" fontId="27" fillId="0" borderId="0" xfId="1" applyFont="1" applyFill="1"/>
    <xf numFmtId="49" fontId="31" fillId="4" borderId="2" xfId="2" applyFont="1" applyFill="1" applyBorder="1">
      <alignment wrapText="1"/>
    </xf>
    <xf numFmtId="0" fontId="6" fillId="0" borderId="3" xfId="1" applyFont="1" applyFill="1" applyBorder="1"/>
    <xf numFmtId="0" fontId="6" fillId="0" borderId="3" xfId="0" applyFont="1" applyFill="1" applyBorder="1" applyAlignment="1" applyProtection="1">
      <alignment horizontal="center"/>
    </xf>
    <xf numFmtId="0" fontId="27" fillId="10" borderId="1" xfId="1" applyFont="1" applyFill="1" applyBorder="1"/>
    <xf numFmtId="9" fontId="27" fillId="6" borderId="1" xfId="5" applyFont="1" applyFill="1" applyBorder="1" applyProtection="1">
      <protection locked="0"/>
    </xf>
    <xf numFmtId="9" fontId="27" fillId="0" borderId="1" xfId="5" applyFont="1" applyFill="1" applyBorder="1" applyProtection="1"/>
    <xf numFmtId="0" fontId="33" fillId="0" borderId="1" xfId="0" applyFont="1" applyBorder="1" applyAlignment="1">
      <alignment horizontal="right"/>
    </xf>
    <xf numFmtId="9" fontId="33" fillId="0" borderId="1" xfId="0" applyNumberFormat="1" applyFont="1" applyFill="1" applyBorder="1"/>
    <xf numFmtId="0" fontId="27" fillId="10" borderId="1" xfId="0" applyFont="1" applyFill="1" applyBorder="1"/>
    <xf numFmtId="0" fontId="27" fillId="0" borderId="1" xfId="0" applyFont="1" applyBorder="1"/>
    <xf numFmtId="9" fontId="33" fillId="0" borderId="1" xfId="0" applyNumberFormat="1" applyFont="1" applyBorder="1"/>
    <xf numFmtId="0" fontId="29" fillId="0" borderId="5" xfId="0" applyFont="1" applyFill="1" applyBorder="1" applyAlignment="1">
      <alignment horizontal="left"/>
    </xf>
    <xf numFmtId="0" fontId="29" fillId="0" borderId="6" xfId="0" applyFont="1" applyFill="1" applyBorder="1" applyAlignment="1">
      <alignment horizontal="left"/>
    </xf>
    <xf numFmtId="0" fontId="27" fillId="6" borderId="3" xfId="0" applyFont="1" applyFill="1" applyBorder="1" applyProtection="1">
      <protection locked="0"/>
    </xf>
    <xf numFmtId="0" fontId="29" fillId="0" borderId="7" xfId="0" applyFont="1" applyFill="1" applyBorder="1" applyAlignment="1">
      <alignment horizontal="left"/>
    </xf>
    <xf numFmtId="0" fontId="29" fillId="0" borderId="8" xfId="0" applyFont="1" applyFill="1" applyBorder="1" applyAlignment="1">
      <alignment horizontal="left"/>
    </xf>
    <xf numFmtId="10" fontId="27" fillId="6" borderId="1" xfId="0" applyNumberFormat="1" applyFont="1" applyFill="1" applyBorder="1" applyProtection="1">
      <protection locked="0"/>
    </xf>
    <xf numFmtId="0" fontId="6" fillId="0" borderId="5" xfId="0" applyFont="1" applyFill="1" applyBorder="1" applyAlignment="1">
      <alignment horizontal="center" vertical="center"/>
    </xf>
    <xf numFmtId="0" fontId="45"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9" fillId="0" borderId="1" xfId="0" applyFont="1" applyFill="1" applyBorder="1" applyAlignment="1">
      <alignment horizontal="left"/>
    </xf>
    <xf numFmtId="165" fontId="29" fillId="6" borderId="7" xfId="4" applyNumberFormat="1" applyFont="1" applyFill="1" applyBorder="1" applyProtection="1">
      <protection locked="0"/>
    </xf>
    <xf numFmtId="167" fontId="27" fillId="0" borderId="1" xfId="0" applyNumberFormat="1" applyFont="1" applyFill="1" applyBorder="1" applyProtection="1"/>
    <xf numFmtId="165" fontId="29" fillId="7" borderId="1" xfId="4" applyNumberFormat="1" applyFont="1" applyFill="1" applyBorder="1" applyAlignment="1" applyProtection="1">
      <alignment horizontal="center"/>
      <protection locked="0"/>
    </xf>
    <xf numFmtId="165" fontId="27" fillId="7" borderId="1" xfId="0" applyNumberFormat="1" applyFont="1" applyFill="1" applyBorder="1" applyProtection="1">
      <protection locked="0"/>
    </xf>
    <xf numFmtId="167" fontId="29" fillId="0" borderId="7" xfId="0" applyNumberFormat="1" applyFont="1" applyFill="1" applyBorder="1"/>
    <xf numFmtId="167" fontId="27" fillId="7" borderId="1" xfId="0" applyNumberFormat="1" applyFont="1" applyFill="1" applyBorder="1" applyProtection="1">
      <protection locked="0"/>
    </xf>
    <xf numFmtId="165" fontId="29" fillId="6" borderId="23" xfId="4" applyNumberFormat="1" applyFont="1" applyFill="1" applyBorder="1" applyProtection="1">
      <protection locked="0"/>
    </xf>
    <xf numFmtId="167" fontId="27" fillId="0" borderId="21" xfId="0" applyNumberFormat="1" applyFont="1" applyFill="1" applyBorder="1" applyProtection="1"/>
    <xf numFmtId="165" fontId="29" fillId="7" borderId="21" xfId="4" applyNumberFormat="1" applyFont="1" applyFill="1" applyBorder="1" applyAlignment="1" applyProtection="1">
      <alignment horizontal="center"/>
      <protection locked="0"/>
    </xf>
    <xf numFmtId="165" fontId="27" fillId="7" borderId="21" xfId="0" applyNumberFormat="1" applyFont="1" applyFill="1" applyBorder="1" applyProtection="1">
      <protection locked="0"/>
    </xf>
    <xf numFmtId="167" fontId="27" fillId="6" borderId="1" xfId="0" applyNumberFormat="1" applyFont="1" applyFill="1" applyBorder="1" applyProtection="1">
      <protection locked="0"/>
    </xf>
    <xf numFmtId="0" fontId="29" fillId="0" borderId="7" xfId="0" applyFont="1" applyFill="1" applyBorder="1"/>
    <xf numFmtId="167" fontId="29" fillId="0" borderId="7" xfId="4" applyNumberFormat="1" applyFont="1" applyFill="1" applyBorder="1"/>
    <xf numFmtId="0" fontId="46" fillId="0" borderId="0" xfId="0" applyFont="1" applyFill="1" applyBorder="1"/>
    <xf numFmtId="0" fontId="47" fillId="0" borderId="0" xfId="0" applyFont="1" applyFill="1" applyBorder="1"/>
    <xf numFmtId="166" fontId="47" fillId="0" borderId="0" xfId="4" applyFont="1" applyFill="1" applyBorder="1"/>
    <xf numFmtId="168" fontId="47" fillId="0" borderId="0" xfId="4" applyNumberFormat="1" applyFont="1" applyFill="1" applyBorder="1"/>
    <xf numFmtId="171" fontId="29" fillId="6" borderId="3" xfId="5" applyNumberFormat="1" applyFont="1" applyFill="1" applyBorder="1" applyProtection="1">
      <protection locked="0"/>
    </xf>
    <xf numFmtId="164" fontId="47" fillId="0" borderId="0" xfId="3" applyFont="1" applyFill="1" applyBorder="1"/>
    <xf numFmtId="0" fontId="27" fillId="0" borderId="3" xfId="0" applyFont="1" applyFill="1" applyBorder="1"/>
    <xf numFmtId="0" fontId="27" fillId="6" borderId="3" xfId="0" applyFont="1" applyFill="1" applyBorder="1"/>
    <xf numFmtId="0" fontId="49" fillId="0" borderId="0" xfId="0" applyFont="1" applyFill="1"/>
    <xf numFmtId="0" fontId="27" fillId="0" borderId="0" xfId="0" applyFont="1" applyFill="1" applyBorder="1" applyAlignment="1">
      <alignment vertical="center"/>
    </xf>
    <xf numFmtId="0" fontId="27" fillId="0" borderId="0" xfId="0" applyFont="1" applyFill="1" applyAlignment="1"/>
    <xf numFmtId="0" fontId="33" fillId="0" borderId="0" xfId="0" applyFont="1" applyFill="1" applyBorder="1" applyAlignment="1">
      <alignment vertical="center"/>
    </xf>
    <xf numFmtId="0" fontId="33" fillId="0" borderId="0" xfId="0" applyFont="1" applyFill="1" applyBorder="1" applyAlignment="1">
      <alignment horizontal="left" vertical="center"/>
    </xf>
    <xf numFmtId="0" fontId="27" fillId="0" borderId="0" xfId="0" applyFont="1" applyFill="1" applyAlignment="1" applyProtection="1">
      <alignment horizontal="right"/>
    </xf>
    <xf numFmtId="0" fontId="6" fillId="0" borderId="1" xfId="0" applyFont="1" applyFill="1" applyBorder="1" applyAlignment="1">
      <alignment horizontal="right"/>
    </xf>
    <xf numFmtId="0" fontId="6" fillId="0" borderId="3" xfId="0" applyFont="1" applyFill="1" applyBorder="1"/>
    <xf numFmtId="165" fontId="32" fillId="0" borderId="3" xfId="5" applyNumberFormat="1" applyFont="1" applyFill="1" applyBorder="1" applyProtection="1">
      <protection locked="0"/>
    </xf>
    <xf numFmtId="0" fontId="6" fillId="0" borderId="3" xfId="0" applyFont="1" applyFill="1" applyBorder="1" applyAlignment="1">
      <alignment horizontal="center" vertical="center"/>
    </xf>
    <xf numFmtId="0" fontId="27" fillId="0" borderId="1" xfId="0" applyFont="1" applyFill="1" applyBorder="1" applyAlignment="1" applyProtection="1">
      <alignment horizontal="left" indent="3"/>
      <protection locked="0"/>
    </xf>
    <xf numFmtId="165" fontId="29" fillId="7" borderId="1" xfId="4" applyNumberFormat="1" applyFont="1" applyFill="1" applyBorder="1" applyProtection="1">
      <protection locked="0"/>
    </xf>
    <xf numFmtId="167" fontId="29" fillId="0" borderId="1" xfId="0" applyNumberFormat="1" applyFont="1" applyFill="1" applyBorder="1" applyProtection="1"/>
    <xf numFmtId="167" fontId="6" fillId="0" borderId="1" xfId="0" applyNumberFormat="1" applyFont="1" applyFill="1" applyBorder="1" applyProtection="1"/>
    <xf numFmtId="0" fontId="33" fillId="0" borderId="1" xfId="0" applyFont="1" applyFill="1" applyBorder="1"/>
    <xf numFmtId="0" fontId="27" fillId="0" borderId="1" xfId="0" applyFont="1" applyFill="1" applyBorder="1"/>
    <xf numFmtId="0" fontId="27" fillId="0" borderId="1" xfId="0" applyFont="1" applyBorder="1" applyAlignment="1">
      <alignment horizontal="left" indent="3"/>
    </xf>
    <xf numFmtId="165" fontId="27" fillId="0" borderId="1" xfId="0" applyNumberFormat="1" applyFont="1" applyBorder="1"/>
    <xf numFmtId="0" fontId="27" fillId="0" borderId="1" xfId="0" applyFont="1" applyBorder="1" applyAlignment="1">
      <alignment horizontal="left" indent="6"/>
    </xf>
    <xf numFmtId="0" fontId="33" fillId="0" borderId="1" xfId="0" applyFont="1" applyBorder="1"/>
    <xf numFmtId="167" fontId="27" fillId="0" borderId="1" xfId="0" applyNumberFormat="1" applyFont="1" applyBorder="1"/>
    <xf numFmtId="164" fontId="27" fillId="0" borderId="0" xfId="0" applyNumberFormat="1" applyFont="1"/>
    <xf numFmtId="0" fontId="50" fillId="0" borderId="0" xfId="0" applyFont="1" applyBorder="1" applyAlignment="1">
      <alignment vertical="center"/>
    </xf>
    <xf numFmtId="0" fontId="29" fillId="0" borderId="0" xfId="0" applyFont="1" applyFill="1" applyAlignment="1">
      <alignment horizontal="left"/>
    </xf>
    <xf numFmtId="0" fontId="29" fillId="0" borderId="0" xfId="0" applyFont="1" applyFill="1" applyAlignment="1">
      <alignment horizontal="left"/>
    </xf>
    <xf numFmtId="0" fontId="27" fillId="0" borderId="0" xfId="0" applyFont="1" applyFill="1" applyAlignment="1">
      <alignment horizontal="center"/>
    </xf>
    <xf numFmtId="0" fontId="41" fillId="0" borderId="0" xfId="6" applyFont="1" applyFill="1" applyAlignment="1">
      <alignment vertical="center"/>
    </xf>
    <xf numFmtId="0" fontId="27" fillId="0" borderId="3" xfId="0" applyFont="1" applyFill="1" applyBorder="1" applyAlignment="1" applyProtection="1">
      <alignment horizontal="left" indent="3"/>
    </xf>
    <xf numFmtId="0" fontId="27" fillId="0" borderId="1" xfId="0" applyFont="1" applyFill="1" applyBorder="1" applyAlignment="1" applyProtection="1">
      <alignment horizontal="left"/>
      <protection locked="0"/>
    </xf>
    <xf numFmtId="165" fontId="27" fillId="0" borderId="1" xfId="0" applyNumberFormat="1" applyFont="1" applyFill="1" applyBorder="1"/>
    <xf numFmtId="171" fontId="29" fillId="0" borderId="1" xfId="0" applyNumberFormat="1" applyFont="1" applyFill="1" applyBorder="1" applyProtection="1"/>
    <xf numFmtId="166" fontId="27" fillId="0" borderId="1" xfId="0" applyNumberFormat="1" applyFont="1" applyFill="1" applyBorder="1"/>
    <xf numFmtId="0" fontId="27" fillId="0" borderId="0" xfId="0" applyFont="1" applyBorder="1"/>
    <xf numFmtId="165" fontId="29" fillId="0" borderId="3" xfId="4" applyNumberFormat="1" applyFont="1" applyFill="1" applyBorder="1" applyAlignment="1" applyProtection="1">
      <alignment horizontal="right"/>
    </xf>
    <xf numFmtId="165" fontId="27" fillId="0" borderId="3" xfId="0" applyNumberFormat="1" applyFont="1" applyBorder="1"/>
    <xf numFmtId="0" fontId="27" fillId="0" borderId="1" xfId="0" applyFont="1" applyBorder="1" applyAlignment="1">
      <alignment horizontal="left"/>
    </xf>
    <xf numFmtId="167" fontId="27" fillId="0" borderId="3" xfId="0" applyNumberFormat="1" applyFont="1" applyBorder="1"/>
    <xf numFmtId="167" fontId="29" fillId="0" borderId="3" xfId="4" applyNumberFormat="1" applyFont="1" applyFill="1" applyBorder="1" applyProtection="1"/>
    <xf numFmtId="167" fontId="6" fillId="0" borderId="3" xfId="0" applyNumberFormat="1" applyFont="1" applyFill="1" applyBorder="1" applyProtection="1"/>
    <xf numFmtId="0" fontId="6" fillId="0" borderId="0" xfId="0" quotePrefix="1" applyFont="1" applyBorder="1" applyAlignment="1">
      <alignment horizontal="left"/>
    </xf>
    <xf numFmtId="0" fontId="28" fillId="0" borderId="0" xfId="0" quotePrefix="1" applyFont="1" applyBorder="1" applyAlignment="1"/>
    <xf numFmtId="0" fontId="33" fillId="0" borderId="0" xfId="0" quotePrefix="1" applyFont="1" applyFill="1" applyAlignment="1"/>
    <xf numFmtId="0" fontId="33" fillId="0" borderId="0" xfId="0" applyFont="1" applyFill="1"/>
    <xf numFmtId="0" fontId="6" fillId="0" borderId="3" xfId="0" applyFont="1" applyFill="1" applyBorder="1" applyAlignment="1">
      <alignment horizontal="left"/>
    </xf>
    <xf numFmtId="167" fontId="29" fillId="0" borderId="3" xfId="4" applyNumberFormat="1" applyFont="1" applyFill="1" applyBorder="1"/>
    <xf numFmtId="168" fontId="29" fillId="0" borderId="3" xfId="4" applyNumberFormat="1" applyFont="1" applyFill="1" applyBorder="1"/>
    <xf numFmtId="0" fontId="6" fillId="0" borderId="1" xfId="0" applyFont="1" applyFill="1" applyBorder="1" applyAlignment="1">
      <alignment horizontal="left"/>
    </xf>
    <xf numFmtId="168" fontId="29" fillId="0" borderId="1" xfId="4" applyNumberFormat="1" applyFont="1" applyFill="1" applyBorder="1"/>
    <xf numFmtId="0" fontId="29" fillId="0" borderId="1" xfId="0" applyFont="1" applyFill="1" applyBorder="1" applyAlignment="1">
      <alignment horizontal="left" indent="3"/>
    </xf>
    <xf numFmtId="165" fontId="29" fillId="0" borderId="1" xfId="4" quotePrefix="1" applyNumberFormat="1" applyFont="1" applyFill="1" applyBorder="1" applyProtection="1"/>
    <xf numFmtId="167" fontId="29" fillId="0" borderId="1" xfId="4" applyNumberFormat="1" applyFont="1" applyFill="1" applyBorder="1"/>
    <xf numFmtId="165" fontId="29" fillId="0" borderId="1" xfId="4" applyNumberFormat="1" applyFont="1" applyFill="1" applyBorder="1"/>
    <xf numFmtId="0" fontId="29" fillId="0" borderId="1" xfId="0" applyFont="1" applyFill="1" applyBorder="1" applyAlignment="1">
      <alignment horizontal="left" indent="6"/>
    </xf>
    <xf numFmtId="0" fontId="6" fillId="9" borderId="1" xfId="0" applyFont="1" applyFill="1" applyBorder="1" applyAlignment="1">
      <alignment horizontal="left"/>
    </xf>
    <xf numFmtId="167" fontId="29" fillId="9" borderId="1" xfId="4" applyNumberFormat="1" applyFont="1" applyFill="1" applyBorder="1" applyProtection="1"/>
    <xf numFmtId="0" fontId="6" fillId="0" borderId="0" xfId="0" quotePrefix="1" applyFont="1" applyBorder="1" applyAlignment="1"/>
    <xf numFmtId="168" fontId="6" fillId="0" borderId="3" xfId="4" applyNumberFormat="1" applyFont="1" applyFill="1" applyBorder="1"/>
    <xf numFmtId="168" fontId="6" fillId="0" borderId="1" xfId="4" applyNumberFormat="1" applyFont="1" applyFill="1" applyBorder="1"/>
    <xf numFmtId="167" fontId="6" fillId="0" borderId="1" xfId="0" applyNumberFormat="1" applyFont="1" applyFill="1" applyBorder="1" applyAlignment="1">
      <alignment horizontal="left" indent="3"/>
    </xf>
    <xf numFmtId="167" fontId="6" fillId="0" borderId="1" xfId="4" applyNumberFormat="1" applyFont="1" applyFill="1" applyBorder="1"/>
    <xf numFmtId="0" fontId="29" fillId="0" borderId="1" xfId="0" applyFont="1" applyFill="1" applyBorder="1" applyAlignment="1">
      <alignment horizontal="left" indent="5"/>
    </xf>
    <xf numFmtId="0" fontId="53" fillId="0" borderId="0" xfId="0" applyFont="1" applyFill="1"/>
    <xf numFmtId="0" fontId="29" fillId="0" borderId="0" xfId="0" applyFont="1"/>
    <xf numFmtId="0" fontId="6" fillId="0" borderId="0" xfId="0" applyFont="1" applyBorder="1" applyAlignment="1">
      <alignment horizontal="left"/>
    </xf>
    <xf numFmtId="0" fontId="6" fillId="0" borderId="0" xfId="0" applyFont="1" applyBorder="1" applyAlignment="1">
      <alignment horizontal="left"/>
    </xf>
    <xf numFmtId="0" fontId="29" fillId="0" borderId="0" xfId="0" applyFont="1" applyAlignment="1"/>
    <xf numFmtId="0" fontId="6" fillId="0" borderId="0" xfId="0" applyFont="1" applyBorder="1" applyAlignment="1">
      <alignment vertical="center"/>
    </xf>
    <xf numFmtId="0" fontId="6" fillId="0" borderId="0" xfId="0" applyFont="1" applyBorder="1" applyAlignment="1">
      <alignment vertical="center"/>
    </xf>
    <xf numFmtId="0" fontId="29" fillId="0" borderId="0" xfId="0" applyFont="1" applyBorder="1" applyAlignment="1">
      <alignment vertical="center"/>
    </xf>
    <xf numFmtId="0" fontId="29" fillId="0" borderId="0" xfId="0" applyFont="1" applyBorder="1" applyAlignment="1">
      <alignment vertical="center"/>
    </xf>
    <xf numFmtId="0" fontId="29" fillId="0" borderId="1" xfId="0" applyFont="1" applyFill="1" applyBorder="1" applyAlignment="1">
      <alignment horizontal="left" vertical="center"/>
    </xf>
    <xf numFmtId="165" fontId="29" fillId="0" borderId="1" xfId="0" applyNumberFormat="1" applyFont="1" applyBorder="1"/>
    <xf numFmtId="0" fontId="29" fillId="9" borderId="1" xfId="0" applyFont="1" applyFill="1" applyBorder="1" applyAlignment="1">
      <alignment horizontal="left" vertical="center"/>
    </xf>
    <xf numFmtId="0" fontId="29" fillId="0" borderId="1" xfId="0" applyFont="1" applyBorder="1" applyAlignment="1">
      <alignment horizontal="left" vertical="center"/>
    </xf>
    <xf numFmtId="167" fontId="6" fillId="0" borderId="1" xfId="0" applyNumberFormat="1" applyFont="1" applyBorder="1"/>
    <xf numFmtId="167" fontId="6" fillId="9" borderId="1" xfId="0" applyNumberFormat="1" applyFont="1" applyFill="1" applyBorder="1" applyAlignment="1">
      <alignment horizontal="left"/>
    </xf>
    <xf numFmtId="0" fontId="29" fillId="0" borderId="1" xfId="0" applyFont="1" applyFill="1" applyBorder="1" applyAlignment="1" applyProtection="1">
      <alignment horizontal="left" indent="3"/>
    </xf>
    <xf numFmtId="0" fontId="29" fillId="0" borderId="1" xfId="0" applyFont="1" applyFill="1" applyBorder="1" applyAlignment="1" applyProtection="1">
      <alignment horizontal="left" indent="3"/>
      <protection locked="0"/>
    </xf>
    <xf numFmtId="0" fontId="6" fillId="10" borderId="1" xfId="0" applyFont="1" applyFill="1" applyBorder="1" applyAlignment="1" applyProtection="1">
      <alignment horizontal="left"/>
    </xf>
    <xf numFmtId="0" fontId="6" fillId="0" borderId="1" xfId="0" applyFont="1" applyFill="1" applyBorder="1" applyAlignment="1" applyProtection="1">
      <alignment horizontal="left"/>
    </xf>
    <xf numFmtId="0" fontId="29" fillId="10" borderId="1" xfId="0" applyFont="1" applyFill="1" applyBorder="1" applyAlignment="1" applyProtection="1">
      <alignment horizontal="left" indent="3"/>
    </xf>
    <xf numFmtId="0" fontId="29" fillId="0" borderId="1" xfId="0" applyFont="1" applyBorder="1"/>
    <xf numFmtId="0" fontId="29" fillId="10" borderId="1" xfId="0" applyFont="1" applyFill="1" applyBorder="1" applyAlignment="1" applyProtection="1">
      <alignment horizontal="left" indent="6"/>
    </xf>
    <xf numFmtId="0" fontId="54" fillId="0" borderId="0" xfId="0" applyFont="1"/>
    <xf numFmtId="0" fontId="55" fillId="0" borderId="0" xfId="0" applyFont="1" applyFill="1" applyBorder="1" applyProtection="1">
      <protection hidden="1"/>
    </xf>
    <xf numFmtId="0" fontId="54" fillId="0" borderId="0" xfId="0" applyFont="1" applyFill="1" applyBorder="1" applyProtection="1">
      <protection hidden="1"/>
    </xf>
    <xf numFmtId="167" fontId="54" fillId="0" borderId="0" xfId="0" applyNumberFormat="1" applyFont="1" applyFill="1" applyBorder="1" applyProtection="1">
      <protection hidden="1"/>
    </xf>
    <xf numFmtId="0" fontId="37" fillId="0" borderId="0" xfId="0" applyFont="1" applyFill="1"/>
    <xf numFmtId="9" fontId="37" fillId="0" borderId="0" xfId="0" applyNumberFormat="1" applyFont="1" applyFill="1" applyAlignment="1">
      <alignment horizontal="center"/>
    </xf>
    <xf numFmtId="9" fontId="37" fillId="0" borderId="0" xfId="0" applyNumberFormat="1" applyFont="1" applyFill="1"/>
    <xf numFmtId="9" fontId="28" fillId="0" borderId="0" xfId="0" applyNumberFormat="1" applyFont="1" applyBorder="1" applyAlignment="1">
      <alignment horizontal="center"/>
    </xf>
    <xf numFmtId="9" fontId="28" fillId="0" borderId="0" xfId="0" applyNumberFormat="1" applyFont="1" applyBorder="1" applyAlignment="1"/>
    <xf numFmtId="0" fontId="56" fillId="0" borderId="0" xfId="6" applyFont="1" applyFill="1" applyAlignment="1">
      <alignment horizontal="center" vertical="center"/>
    </xf>
    <xf numFmtId="0" fontId="37" fillId="0" borderId="0" xfId="0" applyFont="1"/>
    <xf numFmtId="0" fontId="28" fillId="0" borderId="0" xfId="0" applyFont="1" applyBorder="1" applyAlignment="1">
      <alignment horizontal="left"/>
    </xf>
    <xf numFmtId="9" fontId="6" fillId="0" borderId="0" xfId="0" applyNumberFormat="1" applyFont="1" applyBorder="1" applyAlignment="1">
      <alignment horizontal="center" vertical="center"/>
    </xf>
    <xf numFmtId="9" fontId="6" fillId="0" borderId="0" xfId="0" applyNumberFormat="1" applyFont="1" applyBorder="1" applyAlignment="1">
      <alignment vertical="center"/>
    </xf>
    <xf numFmtId="9" fontId="29" fillId="0" borderId="0" xfId="0" applyNumberFormat="1" applyFont="1" applyBorder="1" applyAlignment="1">
      <alignment horizontal="center" vertical="center"/>
    </xf>
    <xf numFmtId="9" fontId="29" fillId="0" borderId="0" xfId="0" applyNumberFormat="1" applyFont="1" applyBorder="1" applyAlignment="1">
      <alignment vertical="center"/>
    </xf>
    <xf numFmtId="0" fontId="29" fillId="0" borderId="5" xfId="0" applyFont="1" applyFill="1" applyBorder="1" applyAlignment="1">
      <alignment horizontal="left" vertical="center"/>
    </xf>
    <xf numFmtId="165" fontId="29" fillId="0" borderId="3" xfId="0" applyNumberFormat="1" applyFont="1" applyFill="1" applyBorder="1" applyAlignment="1">
      <alignment horizontal="right"/>
    </xf>
    <xf numFmtId="9" fontId="29" fillId="0" borderId="3" xfId="0" applyNumberFormat="1" applyFont="1" applyFill="1" applyBorder="1" applyAlignment="1">
      <alignment horizontal="center"/>
    </xf>
    <xf numFmtId="9" fontId="29" fillId="0" borderId="3" xfId="0" applyNumberFormat="1" applyFont="1" applyFill="1" applyBorder="1" applyAlignment="1">
      <alignment horizontal="right"/>
    </xf>
    <xf numFmtId="0" fontId="29" fillId="0" borderId="7" xfId="0" applyFont="1" applyFill="1" applyBorder="1" applyAlignment="1">
      <alignment horizontal="left" vertical="center"/>
    </xf>
    <xf numFmtId="165" fontId="29" fillId="0" borderId="1" xfId="4" applyNumberFormat="1" applyFont="1" applyFill="1" applyBorder="1" applyAlignment="1">
      <alignment horizontal="right"/>
    </xf>
    <xf numFmtId="9" fontId="29" fillId="0" borderId="1" xfId="4" applyNumberFormat="1" applyFont="1" applyFill="1" applyBorder="1" applyAlignment="1">
      <alignment horizontal="center"/>
    </xf>
    <xf numFmtId="9" fontId="29" fillId="0" borderId="1" xfId="4" applyNumberFormat="1" applyFont="1" applyFill="1" applyBorder="1" applyAlignment="1">
      <alignment horizontal="right"/>
    </xf>
    <xf numFmtId="9" fontId="29" fillId="0" borderId="1" xfId="0" applyNumberFormat="1" applyFont="1" applyFill="1" applyBorder="1" applyAlignment="1">
      <alignment horizontal="center"/>
    </xf>
    <xf numFmtId="9" fontId="29" fillId="0" borderId="1" xfId="0" applyNumberFormat="1" applyFont="1" applyFill="1" applyBorder="1" applyAlignment="1">
      <alignment horizontal="right"/>
    </xf>
    <xf numFmtId="0" fontId="6" fillId="0" borderId="7" xfId="0" applyFont="1" applyFill="1" applyBorder="1" applyAlignment="1">
      <alignment horizontal="left"/>
    </xf>
    <xf numFmtId="9" fontId="6" fillId="0" borderId="1" xfId="4" applyNumberFormat="1" applyFont="1" applyFill="1" applyBorder="1" applyAlignment="1">
      <alignment horizontal="center"/>
    </xf>
    <xf numFmtId="9" fontId="6" fillId="0" borderId="1" xfId="4" applyNumberFormat="1" applyFont="1" applyFill="1" applyBorder="1"/>
    <xf numFmtId="9" fontId="29" fillId="0" borderId="3" xfId="0" applyNumberFormat="1" applyFont="1" applyFill="1" applyBorder="1"/>
    <xf numFmtId="9" fontId="29" fillId="0" borderId="1" xfId="0" applyNumberFormat="1" applyFont="1" applyFill="1" applyBorder="1"/>
    <xf numFmtId="165" fontId="6" fillId="0" borderId="1" xfId="0" applyNumberFormat="1" applyFont="1" applyFill="1" applyBorder="1"/>
    <xf numFmtId="9" fontId="6" fillId="0" borderId="1" xfId="0" applyNumberFormat="1" applyFont="1" applyFill="1" applyBorder="1" applyAlignment="1">
      <alignment horizontal="center"/>
    </xf>
    <xf numFmtId="165" fontId="29" fillId="0" borderId="1" xfId="0" applyNumberFormat="1" applyFont="1" applyFill="1" applyBorder="1" applyProtection="1"/>
    <xf numFmtId="9" fontId="29" fillId="0" borderId="1" xfId="0" applyNumberFormat="1" applyFont="1" applyFill="1" applyBorder="1" applyProtection="1"/>
    <xf numFmtId="9" fontId="29" fillId="0" borderId="1" xfId="0" applyNumberFormat="1" applyFont="1" applyFill="1" applyBorder="1" applyAlignment="1" applyProtection="1">
      <alignment horizontal="center"/>
    </xf>
    <xf numFmtId="0" fontId="29" fillId="0" borderId="3" xfId="0" applyFont="1" applyFill="1" applyBorder="1" applyAlignment="1" applyProtection="1">
      <alignment horizontal="left"/>
    </xf>
    <xf numFmtId="9" fontId="29" fillId="0" borderId="3" xfId="4" applyNumberFormat="1" applyFont="1" applyFill="1" applyBorder="1" applyAlignment="1" applyProtection="1">
      <alignment horizontal="center"/>
    </xf>
    <xf numFmtId="165" fontId="29" fillId="0" borderId="3" xfId="4" applyNumberFormat="1" applyFont="1" applyFill="1" applyBorder="1"/>
    <xf numFmtId="9" fontId="29" fillId="0" borderId="3" xfId="4" applyNumberFormat="1" applyFont="1" applyFill="1" applyBorder="1"/>
    <xf numFmtId="9" fontId="29" fillId="0" borderId="3" xfId="4" applyNumberFormat="1" applyFont="1" applyFill="1" applyBorder="1" applyAlignment="1">
      <alignment horizontal="center"/>
    </xf>
    <xf numFmtId="9" fontId="29" fillId="0" borderId="1" xfId="4" applyNumberFormat="1" applyFont="1" applyFill="1" applyBorder="1" applyAlignment="1" applyProtection="1">
      <alignment horizontal="center"/>
    </xf>
    <xf numFmtId="9" fontId="29" fillId="0" borderId="1" xfId="4" applyNumberFormat="1" applyFont="1" applyFill="1" applyBorder="1"/>
    <xf numFmtId="0" fontId="29" fillId="0" borderId="1" xfId="0" applyFont="1" applyFill="1" applyBorder="1" applyAlignment="1" applyProtection="1">
      <alignment horizontal="left"/>
      <protection locked="0"/>
    </xf>
    <xf numFmtId="0" fontId="6" fillId="0" borderId="23" xfId="0" applyFont="1" applyFill="1" applyBorder="1" applyAlignment="1" applyProtection="1">
      <alignment horizontal="left"/>
    </xf>
    <xf numFmtId="167" fontId="6" fillId="0" borderId="21" xfId="0" applyNumberFormat="1" applyFont="1" applyFill="1" applyBorder="1" applyProtection="1"/>
    <xf numFmtId="9" fontId="6" fillId="0" borderId="21" xfId="0" applyNumberFormat="1" applyFont="1" applyFill="1" applyBorder="1" applyAlignment="1">
      <alignment horizontal="center"/>
    </xf>
    <xf numFmtId="0" fontId="6" fillId="4" borderId="1" xfId="0" applyFont="1" applyFill="1" applyBorder="1" applyAlignment="1" applyProtection="1">
      <alignment horizontal="left"/>
    </xf>
    <xf numFmtId="167" fontId="6" fillId="4" borderId="1" xfId="0" applyNumberFormat="1" applyFont="1" applyFill="1" applyBorder="1" applyProtection="1"/>
    <xf numFmtId="9" fontId="6" fillId="4" borderId="1" xfId="0" applyNumberFormat="1" applyFont="1" applyFill="1" applyBorder="1" applyAlignment="1">
      <alignment horizontal="center"/>
    </xf>
    <xf numFmtId="0" fontId="31" fillId="0" borderId="11" xfId="0" applyFont="1" applyFill="1" applyBorder="1" applyAlignment="1" applyProtection="1">
      <alignment horizontal="left"/>
    </xf>
    <xf numFmtId="40" fontId="57" fillId="0" borderId="2" xfId="0" applyNumberFormat="1" applyFont="1" applyFill="1" applyBorder="1" applyProtection="1"/>
    <xf numFmtId="9" fontId="57" fillId="0" borderId="2" xfId="0" applyNumberFormat="1" applyFont="1" applyFill="1" applyBorder="1" applyAlignment="1" applyProtection="1">
      <alignment horizontal="center"/>
    </xf>
    <xf numFmtId="9" fontId="57" fillId="0" borderId="2" xfId="0" applyNumberFormat="1" applyFont="1" applyFill="1" applyBorder="1" applyProtection="1"/>
    <xf numFmtId="0" fontId="29" fillId="0" borderId="3" xfId="0" applyFont="1" applyFill="1" applyBorder="1" applyAlignment="1" applyProtection="1">
      <alignment horizontal="left" indent="3"/>
    </xf>
    <xf numFmtId="165" fontId="29" fillId="0" borderId="3" xfId="0" applyNumberFormat="1" applyFont="1" applyFill="1" applyBorder="1" applyProtection="1"/>
    <xf numFmtId="9" fontId="29" fillId="0" borderId="3" xfId="0" applyNumberFormat="1" applyFont="1" applyFill="1" applyBorder="1" applyAlignment="1" applyProtection="1">
      <alignment horizontal="center"/>
    </xf>
    <xf numFmtId="9" fontId="29" fillId="0" borderId="3" xfId="0" applyNumberFormat="1" applyFont="1" applyFill="1" applyBorder="1" applyProtection="1"/>
    <xf numFmtId="0" fontId="29" fillId="0" borderId="7" xfId="0" applyFont="1" applyFill="1" applyBorder="1" applyAlignment="1" applyProtection="1">
      <alignment horizontal="left" indent="3"/>
    </xf>
    <xf numFmtId="40" fontId="29" fillId="0" borderId="1" xfId="0" applyNumberFormat="1" applyFont="1" applyFill="1" applyBorder="1" applyProtection="1"/>
    <xf numFmtId="0" fontId="29" fillId="0" borderId="7" xfId="0" applyFont="1" applyFill="1" applyBorder="1" applyAlignment="1" applyProtection="1">
      <alignment horizontal="left" indent="6"/>
    </xf>
    <xf numFmtId="0" fontId="29" fillId="0" borderId="1" xfId="0" applyFont="1" applyFill="1" applyBorder="1" applyAlignment="1" applyProtection="1">
      <alignment horizontal="left" indent="6"/>
    </xf>
    <xf numFmtId="0" fontId="6" fillId="0" borderId="7" xfId="0" applyFont="1" applyFill="1" applyBorder="1" applyAlignment="1" applyProtection="1">
      <alignment horizontal="left"/>
    </xf>
    <xf numFmtId="9" fontId="37" fillId="0" borderId="0" xfId="0" applyNumberFormat="1" applyFont="1" applyAlignment="1">
      <alignment horizontal="center"/>
    </xf>
    <xf numFmtId="9" fontId="37" fillId="0" borderId="0" xfId="0" applyNumberFormat="1" applyFont="1"/>
    <xf numFmtId="0" fontId="54" fillId="0" borderId="0" xfId="0" applyFont="1" applyFill="1"/>
    <xf numFmtId="9" fontId="54" fillId="0" borderId="0" xfId="0" applyNumberFormat="1" applyFont="1" applyAlignment="1">
      <alignment horizontal="center"/>
    </xf>
    <xf numFmtId="9" fontId="54" fillId="0" borderId="0" xfId="0" applyNumberFormat="1" applyFont="1"/>
    <xf numFmtId="0" fontId="55" fillId="0" borderId="0" xfId="0" applyFont="1" applyAlignment="1" applyProtection="1">
      <alignment horizontal="center"/>
      <protection hidden="1"/>
    </xf>
    <xf numFmtId="9" fontId="55" fillId="0" borderId="0" xfId="0" applyNumberFormat="1" applyFont="1" applyAlignment="1" applyProtection="1">
      <alignment horizontal="center"/>
      <protection hidden="1"/>
    </xf>
    <xf numFmtId="0" fontId="54" fillId="0" borderId="0" xfId="0" applyFont="1" applyProtection="1">
      <protection hidden="1"/>
    </xf>
    <xf numFmtId="167" fontId="54" fillId="0" borderId="0" xfId="0" applyNumberFormat="1" applyFont="1" applyProtection="1">
      <protection hidden="1"/>
    </xf>
    <xf numFmtId="167" fontId="54" fillId="0" borderId="0" xfId="0" applyNumberFormat="1" applyFont="1" applyAlignment="1" applyProtection="1">
      <alignment horizontal="center"/>
      <protection hidden="1"/>
    </xf>
    <xf numFmtId="0" fontId="54" fillId="0" borderId="0" xfId="0" applyFont="1" applyFill="1" applyBorder="1"/>
    <xf numFmtId="167" fontId="54" fillId="0" borderId="0" xfId="0" applyNumberFormat="1" applyFont="1" applyFill="1" applyBorder="1"/>
    <xf numFmtId="167" fontId="54" fillId="0" borderId="0" xfId="0" applyNumberFormat="1" applyFont="1" applyFill="1" applyBorder="1" applyProtection="1"/>
    <xf numFmtId="167" fontId="54" fillId="0" borderId="0" xfId="0" applyNumberFormat="1" applyFont="1" applyFill="1" applyBorder="1" applyAlignment="1">
      <alignment horizontal="center"/>
    </xf>
    <xf numFmtId="9" fontId="6" fillId="0" borderId="0" xfId="0" applyNumberFormat="1" applyFont="1" applyFill="1" applyBorder="1" applyAlignment="1">
      <alignment horizontal="center"/>
    </xf>
    <xf numFmtId="9" fontId="6" fillId="0" borderId="0" xfId="0" applyNumberFormat="1" applyFont="1" applyFill="1" applyBorder="1"/>
    <xf numFmtId="166" fontId="6" fillId="0" borderId="0" xfId="0" applyNumberFormat="1" applyFont="1" applyFill="1" applyBorder="1" applyAlignment="1">
      <alignment horizontal="center" vertical="center"/>
    </xf>
    <xf numFmtId="167" fontId="29" fillId="0" borderId="0" xfId="0" applyNumberFormat="1" applyFont="1" applyFill="1" applyBorder="1"/>
    <xf numFmtId="167" fontId="29" fillId="0" borderId="0" xfId="0" applyNumberFormat="1" applyFont="1" applyFill="1" applyBorder="1" applyProtection="1"/>
    <xf numFmtId="167" fontId="29" fillId="0" borderId="0" xfId="0" applyNumberFormat="1" applyFont="1" applyFill="1" applyBorder="1" applyAlignment="1">
      <alignment horizontal="center"/>
    </xf>
    <xf numFmtId="9" fontId="29" fillId="0" borderId="0" xfId="0" applyNumberFormat="1" applyFont="1" applyAlignment="1">
      <alignment horizontal="center"/>
    </xf>
    <xf numFmtId="9" fontId="29" fillId="0" borderId="0" xfId="0" applyNumberFormat="1" applyFont="1"/>
    <xf numFmtId="40" fontId="29" fillId="0" borderId="3" xfId="4" applyNumberFormat="1" applyFont="1" applyFill="1" applyBorder="1"/>
    <xf numFmtId="169" fontId="29" fillId="0" borderId="1" xfId="4" applyNumberFormat="1" applyFont="1" applyFill="1" applyBorder="1"/>
    <xf numFmtId="169" fontId="29" fillId="0" borderId="1" xfId="4" applyNumberFormat="1" applyFont="1" applyFill="1" applyBorder="1" applyProtection="1"/>
    <xf numFmtId="0" fontId="29" fillId="0" borderId="1" xfId="0" applyFont="1" applyFill="1" applyBorder="1" applyAlignment="1">
      <alignment horizontal="left" vertical="center" indent="3"/>
    </xf>
    <xf numFmtId="0" fontId="6" fillId="0" borderId="1" xfId="0" applyFont="1" applyFill="1" applyBorder="1" applyAlignment="1">
      <alignment horizontal="right" vertical="center"/>
    </xf>
    <xf numFmtId="0" fontId="6" fillId="0" borderId="1" xfId="0" applyFont="1" applyFill="1" applyBorder="1" applyAlignment="1">
      <alignment horizontal="left" vertical="center"/>
    </xf>
    <xf numFmtId="0" fontId="29" fillId="0" borderId="3" xfId="0" applyFont="1" applyFill="1" applyBorder="1" applyAlignment="1">
      <alignment horizontal="left" vertical="center"/>
    </xf>
    <xf numFmtId="169" fontId="29" fillId="0" borderId="3" xfId="4" applyNumberFormat="1" applyFont="1" applyFill="1" applyBorder="1"/>
    <xf numFmtId="0" fontId="58" fillId="0" borderId="0" xfId="0" applyFont="1" applyFill="1"/>
    <xf numFmtId="165" fontId="29" fillId="0" borderId="1" xfId="3" applyNumberFormat="1" applyFont="1" applyFill="1" applyBorder="1" applyProtection="1"/>
    <xf numFmtId="167" fontId="6" fillId="0" borderId="1" xfId="3" applyNumberFormat="1" applyFont="1" applyFill="1" applyBorder="1" applyProtection="1"/>
    <xf numFmtId="172" fontId="29" fillId="0" borderId="1" xfId="0" applyNumberFormat="1" applyFont="1" applyFill="1" applyBorder="1"/>
    <xf numFmtId="0" fontId="6" fillId="0" borderId="1" xfId="0" applyFont="1" applyFill="1" applyBorder="1" applyAlignment="1">
      <alignment horizontal="center" vertical="center"/>
    </xf>
    <xf numFmtId="164" fontId="29" fillId="0" borderId="0" xfId="3" applyFont="1" applyFill="1"/>
    <xf numFmtId="0" fontId="41" fillId="0" borderId="0" xfId="6" applyFont="1" applyFill="1" applyAlignment="1">
      <alignment horizontal="center" vertical="center" wrapText="1"/>
    </xf>
    <xf numFmtId="0" fontId="28" fillId="0" borderId="0" xfId="0" applyFont="1" applyBorder="1" applyAlignment="1">
      <alignment horizontal="left" vertical="center"/>
    </xf>
    <xf numFmtId="0" fontId="29" fillId="0" borderId="0" xfId="0" applyFont="1" applyBorder="1"/>
    <xf numFmtId="164" fontId="6" fillId="0" borderId="0" xfId="3" applyFont="1" applyFill="1" applyBorder="1" applyAlignment="1">
      <alignment horizontal="right" vertical="center"/>
    </xf>
    <xf numFmtId="1" fontId="32" fillId="0" borderId="0" xfId="4" applyNumberFormat="1" applyFont="1" applyFill="1" applyBorder="1" applyAlignment="1">
      <alignment horizontal="left" vertical="center"/>
    </xf>
    <xf numFmtId="0" fontId="29" fillId="0" borderId="3" xfId="0" applyFont="1" applyFill="1" applyBorder="1" applyAlignment="1">
      <alignment horizontal="left" indent="3"/>
    </xf>
    <xf numFmtId="167" fontId="29" fillId="0" borderId="3" xfId="0" applyNumberFormat="1" applyFont="1" applyFill="1" applyBorder="1" applyAlignment="1">
      <alignment horizontal="right"/>
    </xf>
    <xf numFmtId="171" fontId="6" fillId="0" borderId="1" xfId="0" applyNumberFormat="1" applyFont="1" applyFill="1" applyBorder="1" applyAlignment="1">
      <alignment horizontal="right"/>
    </xf>
    <xf numFmtId="164" fontId="38" fillId="0" borderId="0" xfId="3" applyFont="1" applyFill="1" applyBorder="1" applyAlignment="1">
      <alignment horizontal="center"/>
    </xf>
    <xf numFmtId="0" fontId="29" fillId="0" borderId="0" xfId="0" applyFont="1" applyFill="1" applyAlignment="1">
      <alignment vertical="center"/>
    </xf>
    <xf numFmtId="164" fontId="29" fillId="0" borderId="3" xfId="0" applyNumberFormat="1" applyFont="1" applyFill="1" applyBorder="1" applyAlignment="1">
      <alignment horizontal="left" vertical="center" wrapText="1"/>
    </xf>
    <xf numFmtId="164" fontId="29" fillId="0" borderId="1" xfId="0" applyNumberFormat="1" applyFont="1" applyFill="1" applyBorder="1" applyAlignment="1">
      <alignment horizontal="left" vertical="center" wrapText="1"/>
    </xf>
    <xf numFmtId="167" fontId="6" fillId="0" borderId="1" xfId="0" applyNumberFormat="1" applyFont="1" applyFill="1" applyBorder="1" applyAlignment="1">
      <alignment horizontal="right" vertical="center" wrapText="1"/>
    </xf>
    <xf numFmtId="171" fontId="29" fillId="0" borderId="3" xfId="0" applyNumberFormat="1" applyFont="1" applyFill="1" applyBorder="1" applyAlignment="1">
      <alignment horizontal="right" vertical="center" wrapText="1"/>
    </xf>
    <xf numFmtId="167" fontId="29"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167" fontId="6" fillId="0" borderId="1" xfId="0" applyNumberFormat="1" applyFont="1" applyFill="1" applyBorder="1" applyAlignment="1">
      <alignment vertical="center"/>
    </xf>
    <xf numFmtId="167" fontId="29" fillId="0" borderId="0" xfId="3" applyNumberFormat="1" applyFont="1" applyFill="1" applyBorder="1" applyAlignment="1">
      <alignment vertical="center"/>
    </xf>
    <xf numFmtId="164" fontId="29" fillId="0" borderId="0" xfId="0" applyNumberFormat="1" applyFont="1" applyFill="1" applyBorder="1" applyAlignment="1">
      <alignment horizontal="left"/>
    </xf>
    <xf numFmtId="164" fontId="29" fillId="0" borderId="0" xfId="0" applyNumberFormat="1" applyFont="1" applyFill="1" applyBorder="1" applyAlignment="1">
      <alignment horizontal="left" vertical="center" wrapText="1"/>
    </xf>
    <xf numFmtId="167" fontId="29" fillId="0" borderId="0" xfId="0" applyNumberFormat="1" applyFont="1" applyFill="1" applyBorder="1" applyAlignment="1">
      <alignment horizontal="left" vertical="center"/>
    </xf>
    <xf numFmtId="0" fontId="6" fillId="0" borderId="0" xfId="0" applyFont="1" applyFill="1" applyBorder="1" applyAlignment="1">
      <alignment vertical="center" wrapText="1"/>
    </xf>
    <xf numFmtId="167" fontId="29" fillId="0" borderId="0" xfId="0" applyNumberFormat="1" applyFont="1" applyFill="1" applyBorder="1" applyAlignment="1">
      <alignment vertical="center"/>
    </xf>
    <xf numFmtId="164" fontId="29" fillId="0" borderId="0" xfId="3" applyFont="1" applyFill="1" applyBorder="1" applyAlignment="1">
      <alignment vertical="center"/>
    </xf>
    <xf numFmtId="165" fontId="29" fillId="0" borderId="0" xfId="0" applyNumberFormat="1" applyFont="1" applyFill="1" applyBorder="1" applyAlignment="1">
      <alignment vertical="center"/>
    </xf>
    <xf numFmtId="0" fontId="29" fillId="0" borderId="0" xfId="0" applyFont="1" applyFill="1" applyBorder="1" applyAlignment="1">
      <alignment vertical="center" wrapText="1"/>
    </xf>
    <xf numFmtId="165" fontId="29" fillId="0" borderId="0" xfId="3" applyNumberFormat="1" applyFont="1" applyFill="1" applyBorder="1" applyAlignment="1">
      <alignment vertical="center"/>
    </xf>
    <xf numFmtId="0" fontId="6" fillId="0" borderId="0" xfId="0" applyFont="1" applyBorder="1"/>
    <xf numFmtId="0" fontId="29" fillId="0" borderId="0" xfId="0" applyFont="1" applyFill="1" applyAlignment="1">
      <alignment vertical="center" wrapText="1"/>
    </xf>
    <xf numFmtId="165" fontId="27" fillId="0" borderId="0" xfId="5" applyNumberFormat="1" applyFont="1" applyFill="1" applyBorder="1" applyProtection="1">
      <protection locked="0"/>
    </xf>
    <xf numFmtId="167" fontId="29" fillId="0" borderId="0" xfId="0" applyNumberFormat="1" applyFont="1" applyFill="1" applyBorder="1" applyAlignment="1">
      <alignment vertical="center" wrapText="1"/>
    </xf>
    <xf numFmtId="167" fontId="29" fillId="0" borderId="0" xfId="3" applyNumberFormat="1" applyFont="1" applyFill="1" applyBorder="1" applyAlignment="1">
      <alignment vertical="center" wrapText="1"/>
    </xf>
    <xf numFmtId="4" fontId="29" fillId="0" borderId="0" xfId="0" applyNumberFormat="1" applyFont="1" applyFill="1" applyBorder="1" applyAlignment="1">
      <alignment vertical="center" wrapText="1"/>
    </xf>
    <xf numFmtId="164" fontId="29" fillId="0" borderId="0" xfId="3" applyFont="1" applyFill="1" applyBorder="1" applyAlignment="1">
      <alignment vertical="center" wrapText="1"/>
    </xf>
    <xf numFmtId="0" fontId="29" fillId="0" borderId="0" xfId="0" applyFont="1" applyBorder="1" applyAlignment="1">
      <alignment vertical="center" wrapText="1"/>
    </xf>
    <xf numFmtId="164" fontId="29" fillId="0" borderId="0" xfId="3" applyFont="1" applyBorder="1" applyAlignment="1">
      <alignment vertical="center" wrapText="1"/>
    </xf>
    <xf numFmtId="164" fontId="29" fillId="0" borderId="0" xfId="3" applyFont="1"/>
    <xf numFmtId="0" fontId="28" fillId="0" borderId="0" xfId="0" applyFont="1" applyFill="1" applyBorder="1" applyAlignment="1">
      <alignment horizont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29" fillId="0" borderId="0" xfId="0" applyFont="1" applyFill="1" applyAlignment="1">
      <alignment horizontal="left" vertical="center"/>
    </xf>
    <xf numFmtId="0" fontId="29" fillId="0" borderId="3" xfId="0" applyFont="1" applyFill="1" applyBorder="1" applyAlignment="1">
      <alignment horizontal="left" indent="2"/>
    </xf>
    <xf numFmtId="169" fontId="29" fillId="0" borderId="3" xfId="3" applyNumberFormat="1" applyFont="1" applyFill="1" applyBorder="1"/>
    <xf numFmtId="10" fontId="29" fillId="0" borderId="3" xfId="5" applyNumberFormat="1" applyFont="1" applyFill="1" applyBorder="1"/>
    <xf numFmtId="0" fontId="29" fillId="0" borderId="1" xfId="0" applyFont="1" applyFill="1" applyBorder="1" applyAlignment="1">
      <alignment horizontal="left" indent="4"/>
    </xf>
    <xf numFmtId="173" fontId="29" fillId="0" borderId="1" xfId="4" applyNumberFormat="1" applyFont="1" applyFill="1" applyBorder="1"/>
    <xf numFmtId="173" fontId="29" fillId="0" borderId="1" xfId="0" applyNumberFormat="1" applyFont="1" applyFill="1" applyBorder="1"/>
    <xf numFmtId="0" fontId="29" fillId="0" borderId="1" xfId="0" applyFont="1" applyFill="1" applyBorder="1" applyAlignment="1">
      <alignment horizontal="left" indent="2"/>
    </xf>
    <xf numFmtId="166" fontId="29" fillId="0" borderId="1" xfId="4" applyNumberFormat="1" applyFont="1" applyFill="1" applyBorder="1"/>
    <xf numFmtId="171" fontId="29" fillId="0" borderId="1" xfId="4" applyNumberFormat="1" applyFont="1" applyFill="1" applyBorder="1"/>
    <xf numFmtId="171" fontId="29" fillId="0" borderId="1" xfId="0" applyNumberFormat="1" applyFont="1" applyFill="1" applyBorder="1"/>
    <xf numFmtId="168" fontId="29" fillId="0" borderId="0" xfId="4" applyNumberFormat="1" applyFont="1" applyFill="1" applyBorder="1"/>
    <xf numFmtId="0" fontId="6" fillId="0" borderId="0" xfId="0" applyFont="1" applyFill="1" applyAlignment="1">
      <alignment horizontal="left" vertical="center"/>
    </xf>
    <xf numFmtId="0" fontId="29" fillId="0" borderId="0" xfId="0" applyFont="1" applyFill="1" applyAlignment="1">
      <alignment horizontal="left" vertical="center"/>
    </xf>
    <xf numFmtId="0" fontId="6" fillId="0" borderId="0" xfId="0" applyFont="1" applyFill="1" applyBorder="1" applyAlignment="1">
      <alignment horizontal="right"/>
    </xf>
    <xf numFmtId="171" fontId="6" fillId="0" borderId="3" xfId="5" applyNumberFormat="1" applyFont="1" applyFill="1" applyBorder="1"/>
    <xf numFmtId="0" fontId="29" fillId="0" borderId="3" xfId="5" applyNumberFormat="1" applyFont="1" applyFill="1" applyBorder="1"/>
    <xf numFmtId="10" fontId="29" fillId="0" borderId="0" xfId="5" applyNumberFormat="1" applyFont="1" applyFill="1" applyBorder="1"/>
    <xf numFmtId="171" fontId="6" fillId="0" borderId="1" xfId="5" applyNumberFormat="1" applyFont="1" applyFill="1" applyBorder="1"/>
    <xf numFmtId="0" fontId="29" fillId="0" borderId="1" xfId="5" applyNumberFormat="1" applyFont="1" applyFill="1" applyBorder="1"/>
    <xf numFmtId="171" fontId="6" fillId="0" borderId="1" xfId="4" applyNumberFormat="1" applyFont="1" applyFill="1" applyBorder="1"/>
    <xf numFmtId="0" fontId="29" fillId="0" borderId="3" xfId="0" applyNumberFormat="1" applyFont="1" applyFill="1" applyBorder="1"/>
    <xf numFmtId="168" fontId="6" fillId="0" borderId="1" xfId="0" applyNumberFormat="1" applyFont="1" applyFill="1" applyBorder="1"/>
    <xf numFmtId="0" fontId="29" fillId="0" borderId="1" xfId="0" applyNumberFormat="1" applyFont="1" applyFill="1" applyBorder="1"/>
    <xf numFmtId="0" fontId="29" fillId="0" borderId="1" xfId="4" applyNumberFormat="1" applyFont="1" applyFill="1" applyBorder="1"/>
    <xf numFmtId="37" fontId="6" fillId="0" borderId="1" xfId="5" applyNumberFormat="1" applyFont="1" applyFill="1" applyBorder="1"/>
    <xf numFmtId="0" fontId="29" fillId="0" borderId="1" xfId="4" applyNumberFormat="1" applyFont="1" applyFill="1" applyBorder="1" applyAlignment="1">
      <alignment horizontal="left"/>
    </xf>
    <xf numFmtId="0" fontId="29" fillId="0" borderId="3" xfId="4" applyNumberFormat="1" applyFont="1" applyFill="1" applyBorder="1"/>
    <xf numFmtId="167" fontId="6" fillId="0" borderId="1" xfId="3" applyNumberFormat="1" applyFont="1" applyFill="1" applyBorder="1"/>
    <xf numFmtId="167" fontId="6" fillId="0" borderId="3" xfId="4" applyNumberFormat="1" applyFont="1" applyFill="1" applyBorder="1"/>
    <xf numFmtId="167" fontId="6" fillId="0" borderId="3" xfId="3" applyNumberFormat="1" applyFont="1" applyFill="1" applyBorder="1"/>
    <xf numFmtId="0" fontId="60" fillId="0" borderId="0" xfId="0" applyFont="1" applyFill="1" applyBorder="1" applyAlignment="1">
      <alignment horizontal="left" vertical="center"/>
    </xf>
    <xf numFmtId="0" fontId="37" fillId="9" borderId="0" xfId="0" applyFont="1" applyFill="1"/>
    <xf numFmtId="0" fontId="61" fillId="0" borderId="0" xfId="6" applyFont="1" applyFill="1" applyAlignment="1">
      <alignment horizontal="center" vertical="center" wrapText="1"/>
    </xf>
    <xf numFmtId="0" fontId="60" fillId="0" borderId="0" xfId="0" applyFont="1" applyFill="1" applyBorder="1" applyAlignment="1">
      <alignment vertical="center"/>
    </xf>
    <xf numFmtId="0" fontId="29" fillId="6" borderId="3" xfId="0" applyFont="1" applyFill="1" applyBorder="1" applyAlignment="1" applyProtection="1">
      <alignment vertical="center"/>
      <protection locked="0"/>
    </xf>
    <xf numFmtId="0" fontId="29" fillId="6" borderId="1" xfId="0" applyFont="1" applyFill="1" applyBorder="1" applyAlignment="1" applyProtection="1">
      <alignment vertical="center"/>
      <protection locked="0"/>
    </xf>
    <xf numFmtId="0" fontId="27" fillId="0" borderId="1" xfId="0" applyFont="1" applyBorder="1" applyAlignment="1">
      <alignment wrapText="1"/>
    </xf>
    <xf numFmtId="165" fontId="27" fillId="11" borderId="1" xfId="0" applyNumberFormat="1" applyFont="1" applyFill="1" applyBorder="1" applyProtection="1">
      <protection locked="0"/>
    </xf>
    <xf numFmtId="0" fontId="29" fillId="0" borderId="1" xfId="0" applyFont="1" applyFill="1" applyBorder="1" applyAlignment="1">
      <alignment wrapText="1"/>
    </xf>
    <xf numFmtId="0" fontId="27" fillId="11" borderId="1" xfId="0" applyFont="1" applyFill="1" applyBorder="1" applyProtection="1">
      <protection locked="0"/>
    </xf>
    <xf numFmtId="0" fontId="6" fillId="0" borderId="1" xfId="0" applyFont="1" applyFill="1" applyBorder="1" applyAlignment="1">
      <alignment wrapText="1"/>
    </xf>
    <xf numFmtId="0" fontId="32" fillId="0" borderId="0" xfId="0" applyFont="1" applyFill="1" applyBorder="1" applyAlignment="1">
      <alignment wrapText="1"/>
    </xf>
    <xf numFmtId="0" fontId="56" fillId="8" borderId="0" xfId="6" applyFont="1" applyFill="1" applyAlignment="1">
      <alignment horizontal="center" vertical="center"/>
    </xf>
    <xf numFmtId="0" fontId="6" fillId="0" borderId="0" xfId="0" applyFont="1" applyFill="1" applyBorder="1" applyAlignment="1">
      <alignment horizontal="left"/>
    </xf>
    <xf numFmtId="0" fontId="41" fillId="8" borderId="0" xfId="6" applyFont="1" applyFill="1" applyAlignment="1">
      <alignment horizontal="center" vertical="center"/>
    </xf>
    <xf numFmtId="0" fontId="6" fillId="0" borderId="3" xfId="0" applyFont="1" applyBorder="1"/>
    <xf numFmtId="169" fontId="29" fillId="0" borderId="3" xfId="3" applyNumberFormat="1" applyFont="1" applyBorder="1"/>
    <xf numFmtId="0" fontId="6" fillId="0" borderId="1" xfId="0" applyFont="1" applyBorder="1"/>
    <xf numFmtId="10" fontId="29" fillId="0" borderId="1" xfId="0" applyNumberFormat="1" applyFont="1" applyBorder="1"/>
    <xf numFmtId="166" fontId="29" fillId="0" borderId="1" xfId="0" applyNumberFormat="1" applyFont="1" applyBorder="1"/>
    <xf numFmtId="174" fontId="29" fillId="0" borderId="1" xfId="0" applyNumberFormat="1" applyFont="1" applyBorder="1"/>
    <xf numFmtId="0" fontId="6" fillId="0" borderId="1" xfId="0" applyFont="1" applyFill="1" applyBorder="1" applyAlignment="1">
      <alignment horizontal="center"/>
    </xf>
    <xf numFmtId="167" fontId="29" fillId="0" borderId="1" xfId="4" applyNumberFormat="1" applyFont="1" applyFill="1" applyBorder="1" applyAlignment="1">
      <alignment horizontal="right"/>
    </xf>
    <xf numFmtId="165" fontId="29" fillId="0" borderId="1" xfId="0" applyNumberFormat="1" applyFont="1" applyFill="1" applyBorder="1" applyAlignment="1">
      <alignment horizontal="right"/>
    </xf>
    <xf numFmtId="168" fontId="29" fillId="0" borderId="1" xfId="0" applyNumberFormat="1" applyFont="1" applyFill="1" applyBorder="1" applyAlignment="1">
      <alignment horizontal="right"/>
    </xf>
    <xf numFmtId="168" fontId="29" fillId="0" borderId="1" xfId="0" applyNumberFormat="1" applyFont="1" applyFill="1" applyBorder="1"/>
    <xf numFmtId="168" fontId="29" fillId="0" borderId="0" xfId="4" applyNumberFormat="1" applyFont="1" applyFill="1"/>
    <xf numFmtId="164" fontId="29" fillId="0" borderId="3" xfId="3" applyFont="1" applyFill="1" applyBorder="1"/>
    <xf numFmtId="10" fontId="29" fillId="0" borderId="1" xfId="0" applyNumberFormat="1" applyFont="1" applyFill="1" applyBorder="1"/>
    <xf numFmtId="166" fontId="29" fillId="0" borderId="1" xfId="0" applyNumberFormat="1" applyFont="1" applyFill="1" applyBorder="1"/>
    <xf numFmtId="174" fontId="29" fillId="0" borderId="1" xfId="0" applyNumberFormat="1" applyFont="1" applyFill="1" applyBorder="1"/>
    <xf numFmtId="0" fontId="6" fillId="0" borderId="1" xfId="0" applyFont="1" applyFill="1" applyBorder="1" applyAlignment="1">
      <alignment horizontal="left" indent="2"/>
    </xf>
    <xf numFmtId="175" fontId="29" fillId="0" borderId="3" xfId="0" applyNumberFormat="1" applyFont="1" applyFill="1" applyBorder="1"/>
    <xf numFmtId="0" fontId="6" fillId="0" borderId="3" xfId="0" applyFont="1" applyFill="1" applyBorder="1" applyAlignment="1" applyProtection="1">
      <alignment horizontal="left"/>
    </xf>
    <xf numFmtId="165" fontId="29" fillId="0" borderId="3" xfId="3" applyNumberFormat="1" applyFont="1" applyFill="1" applyBorder="1" applyProtection="1"/>
    <xf numFmtId="165" fontId="29" fillId="0" borderId="1" xfId="0" applyNumberFormat="1" applyFont="1" applyFill="1" applyBorder="1"/>
    <xf numFmtId="1" fontId="29" fillId="0" borderId="1" xfId="0" applyNumberFormat="1" applyFont="1" applyFill="1" applyBorder="1"/>
    <xf numFmtId="165" fontId="29" fillId="0" borderId="3" xfId="0" applyNumberFormat="1" applyFont="1" applyFill="1" applyBorder="1"/>
    <xf numFmtId="0" fontId="62" fillId="0" borderId="0" xfId="0" applyFont="1"/>
    <xf numFmtId="14" fontId="0" fillId="0" borderId="0" xfId="0" applyNumberFormat="1"/>
    <xf numFmtId="0" fontId="0" fillId="0" borderId="0" xfId="0" applyAlignment="1">
      <alignment wrapText="1"/>
    </xf>
    <xf numFmtId="0" fontId="21" fillId="0" borderId="0" xfId="6"/>
  </cellXfs>
  <cellStyles count="7">
    <cellStyle name="Comma 2" xfId="4"/>
    <cellStyle name="Currency 2" xfId="3"/>
    <cellStyle name="Heading 1 2" xfId="2"/>
    <cellStyle name="Hyperlink" xfId="6" builtinId="8"/>
    <cellStyle name="Normal" xfId="0" builtinId="0"/>
    <cellStyle name="Normal 2" xfId="1"/>
    <cellStyle name="Percent 2" xfId="5"/>
  </cellStyles>
  <dxfs count="76">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34998626667073579"/>
      </font>
    </dxf>
    <dxf>
      <fill>
        <patternFill>
          <bgColor rgb="FFFFD200"/>
        </patternFill>
      </fill>
    </dxf>
    <dxf>
      <fill>
        <patternFill patternType="none">
          <bgColor indexed="65"/>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E043"/>
        </patternFill>
      </fill>
    </dxf>
    <dxf>
      <font>
        <color theme="0" tint="-0.24994659260841701"/>
      </font>
    </dxf>
    <dxf>
      <fill>
        <patternFill>
          <bgColor rgb="FFFFE043"/>
        </patternFill>
      </fill>
    </dxf>
    <dxf>
      <font>
        <color theme="4" tint="0.59996337778862885"/>
        <name val="Cambria"/>
        <scheme val="none"/>
      </font>
    </dxf>
    <dxf>
      <fill>
        <patternFill>
          <bgColor rgb="FFF89E53"/>
        </patternFill>
      </fill>
    </dxf>
    <dxf>
      <fill>
        <patternFill>
          <bgColor rgb="FFF89E53"/>
        </patternFill>
      </fill>
    </dxf>
    <dxf>
      <font>
        <color theme="4" tint="0.59996337778862885"/>
        <name val="Cambria"/>
        <scheme val="none"/>
      </font>
    </dxf>
    <dxf>
      <font>
        <color theme="4" tint="0.59996337778862885"/>
        <name val="Cambria"/>
        <scheme val="none"/>
      </font>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E04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89E53"/>
        </patternFill>
      </fill>
    </dxf>
    <dxf>
      <numFmt numFmtId="30" formatCode="@"/>
      <fill>
        <patternFill>
          <bgColor rgb="FFFF0000"/>
        </patternFill>
      </fill>
    </dxf>
    <dxf>
      <font>
        <color rgb="FFFF0000"/>
      </font>
    </dxf>
    <dxf>
      <font>
        <color rgb="FF6A9F42"/>
      </font>
    </dxf>
    <dxf>
      <font>
        <color rgb="FFFF0000"/>
      </font>
    </dxf>
    <dxf>
      <fill>
        <patternFill>
          <bgColor rgb="FFF89E53"/>
        </patternFill>
      </fill>
    </dxf>
    <dxf>
      <fill>
        <patternFill>
          <bgColor rgb="FFF89E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namozagy.com" TargetMode="External"/><Relationship Id="rId2" Type="http://schemas.openxmlformats.org/officeDocument/2006/relationships/image" Target="../media/image1.png"/><Relationship Id="rId1" Type="http://schemas.openxmlformats.org/officeDocument/2006/relationships/hyperlink" Target="https://namozagy.com/" TargetMode="External"/><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382905</xdr:colOff>
      <xdr:row>8</xdr:row>
      <xdr:rowOff>121920</xdr:rowOff>
    </xdr:from>
    <xdr:to>
      <xdr:col>4</xdr:col>
      <xdr:colOff>609590</xdr:colOff>
      <xdr:row>14</xdr:row>
      <xdr:rowOff>57150</xdr:rowOff>
    </xdr:to>
    <xdr:sp macro="" textlink="">
      <xdr:nvSpPr>
        <xdr:cNvPr id="2" name="TextBox 2"/>
        <xdr:cNvSpPr txBox="1">
          <a:spLocks noChangeArrowheads="1"/>
        </xdr:cNvSpPr>
      </xdr:nvSpPr>
      <xdr:spPr bwMode="auto">
        <a:xfrm>
          <a:off x="382905" y="2141220"/>
          <a:ext cx="5255885" cy="1249680"/>
        </a:xfrm>
        <a:prstGeom prst="rect">
          <a:avLst/>
        </a:prstGeom>
        <a:noFill/>
        <a:ln w="57150">
          <a:solidFill>
            <a:srgbClr val="319B96"/>
          </a:solidFill>
          <a:headEnd/>
          <a:tailEnd/>
        </a:ln>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wrap="square" lIns="91440" tIns="91440" rIns="0" bIns="0" anchor="t" upright="1"/>
        <a:lstStyle/>
        <a:p>
          <a:pPr algn="l" rtl="0">
            <a:defRPr sz="1000"/>
          </a:pPr>
          <a:r>
            <a:rPr lang="en-US" sz="1100" b="0" i="0" u="none" strike="noStrike" baseline="0">
              <a:solidFill>
                <a:sysClr val="windowText" lastClr="000000"/>
              </a:solidFill>
              <a:latin typeface="+mn-lt"/>
            </a:rPr>
            <a:t>Adapt this Excel template to your language and currency. Do not modify any function,  since it is possible that spreadsheets can not perform calculations.</a:t>
          </a:r>
        </a:p>
      </xdr:txBody>
    </xdr:sp>
    <xdr:clientData fLocksWithSheet="0"/>
  </xdr:twoCellAnchor>
  <xdr:twoCellAnchor>
    <xdr:from>
      <xdr:col>4</xdr:col>
      <xdr:colOff>933450</xdr:colOff>
      <xdr:row>8</xdr:row>
      <xdr:rowOff>133350</xdr:rowOff>
    </xdr:from>
    <xdr:to>
      <xdr:col>7</xdr:col>
      <xdr:colOff>647700</xdr:colOff>
      <xdr:row>16</xdr:row>
      <xdr:rowOff>76200</xdr:rowOff>
    </xdr:to>
    <xdr:grpSp>
      <xdr:nvGrpSpPr>
        <xdr:cNvPr id="3" name="Group 2"/>
        <xdr:cNvGrpSpPr>
          <a:grpSpLocks/>
        </xdr:cNvGrpSpPr>
      </xdr:nvGrpSpPr>
      <xdr:grpSpPr bwMode="auto">
        <a:xfrm>
          <a:off x="5962650" y="2152650"/>
          <a:ext cx="2876550" cy="1695450"/>
          <a:chOff x="1624403" y="5981700"/>
          <a:chExt cx="2598420" cy="1767841"/>
        </a:xfrm>
      </xdr:grpSpPr>
      <xdr:grpSp>
        <xdr:nvGrpSpPr>
          <xdr:cNvPr id="4" name="Group 5"/>
          <xdr:cNvGrpSpPr>
            <a:grpSpLocks/>
          </xdr:cNvGrpSpPr>
        </xdr:nvGrpSpPr>
        <xdr:grpSpPr bwMode="auto">
          <a:xfrm>
            <a:off x="1624403" y="5981700"/>
            <a:ext cx="2598420" cy="1767841"/>
            <a:chOff x="723499" y="7862889"/>
            <a:chExt cx="2633446" cy="1854360"/>
          </a:xfrm>
        </xdr:grpSpPr>
        <xdr:sp macro="" textlink="">
          <xdr:nvSpPr>
            <xdr:cNvPr id="6" name="TextBox 5"/>
            <xdr:cNvSpPr txBox="1"/>
          </xdr:nvSpPr>
          <xdr:spPr>
            <a:xfrm>
              <a:off x="723499" y="7862889"/>
              <a:ext cx="2633446" cy="185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Colour code:</a:t>
              </a:r>
            </a:p>
            <a:p>
              <a:endParaRPr lang="en-US" sz="1100"/>
            </a:p>
            <a:p>
              <a:r>
                <a:rPr lang="en-US" sz="1100"/>
                <a:t>                     </a:t>
              </a:r>
            </a:p>
          </xdr:txBody>
        </xdr:sp>
        <xdr:sp macro="" textlink="">
          <xdr:nvSpPr>
            <xdr:cNvPr id="7" name="Rectangle 6"/>
            <xdr:cNvSpPr/>
          </xdr:nvSpPr>
          <xdr:spPr>
            <a:xfrm>
              <a:off x="819419" y="8415030"/>
              <a:ext cx="2398005" cy="260444"/>
            </a:xfrm>
            <a:prstGeom prst="rect">
              <a:avLst/>
            </a:prstGeom>
            <a:solidFill>
              <a:srgbClr val="4BC4C7"/>
            </a:solidFill>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algn="ctr"/>
              <a:r>
                <a:rPr lang="en-US" sz="1100" b="1">
                  <a:solidFill>
                    <a:sysClr val="windowText" lastClr="000000"/>
                  </a:solidFill>
                  <a:latin typeface="Gill Sans MT" pitchFamily="34" charset="0"/>
                </a:rPr>
                <a:t>Enter Data Here</a:t>
              </a:r>
            </a:p>
          </xdr:txBody>
        </xdr:sp>
      </xdr:grpSp>
      <xdr:sp macro="" textlink="">
        <xdr:nvSpPr>
          <xdr:cNvPr id="5" name="Rectangle 4"/>
          <xdr:cNvSpPr/>
        </xdr:nvSpPr>
        <xdr:spPr bwMode="auto">
          <a:xfrm>
            <a:off x="1719047" y="7113913"/>
            <a:ext cx="2357507" cy="238361"/>
          </a:xfrm>
          <a:prstGeom prst="rect">
            <a:avLst/>
          </a:prstGeom>
          <a:solidFill>
            <a:srgbClr val="F89E53"/>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1100" b="1">
                <a:solidFill>
                  <a:sysClr val="windowText" lastClr="000000"/>
                </a:solidFill>
                <a:latin typeface="Gill Sans MT" pitchFamily="34" charset="0"/>
              </a:rPr>
              <a:t>Adjust as Needed</a:t>
            </a:r>
          </a:p>
        </xdr:txBody>
      </xdr:sp>
    </xdr:grpSp>
    <xdr:clientData/>
  </xdr:twoCellAnchor>
  <xdr:twoCellAnchor>
    <xdr:from>
      <xdr:col>4</xdr:col>
      <xdr:colOff>944878</xdr:colOff>
      <xdr:row>17</xdr:row>
      <xdr:rowOff>28575</xdr:rowOff>
    </xdr:from>
    <xdr:to>
      <xdr:col>7</xdr:col>
      <xdr:colOff>630555</xdr:colOff>
      <xdr:row>24</xdr:row>
      <xdr:rowOff>196216</xdr:rowOff>
    </xdr:to>
    <xdr:sp macro="" textlink="">
      <xdr:nvSpPr>
        <xdr:cNvPr id="8" name="TextBox 7">
          <a:hlinkClick xmlns:r="http://schemas.openxmlformats.org/officeDocument/2006/relationships" r:id="rId1"/>
        </xdr:cNvPr>
        <xdr:cNvSpPr txBox="1"/>
      </xdr:nvSpPr>
      <xdr:spPr bwMode="auto">
        <a:xfrm>
          <a:off x="5974078" y="4019550"/>
          <a:ext cx="2847977" cy="17011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US" sz="2000">
              <a:latin typeface="Gill Sans MT" pitchFamily="34" charset="0"/>
            </a:rPr>
            <a:t>Would you like help? Visit our website:</a:t>
          </a:r>
          <a:endParaRPr lang="en-US" sz="2000" baseline="0">
            <a:latin typeface="Gill Sans MT" pitchFamily="34" charset="0"/>
          </a:endParaRPr>
        </a:p>
        <a:p>
          <a:pPr>
            <a:lnSpc>
              <a:spcPts val="1600"/>
            </a:lnSpc>
          </a:pPr>
          <a:endParaRPr lang="en-US" sz="1600" baseline="0">
            <a:latin typeface="Gill Sans MT" pitchFamily="34" charset="0"/>
          </a:endParaRPr>
        </a:p>
        <a:p>
          <a:pPr>
            <a:lnSpc>
              <a:spcPts val="1500"/>
            </a:lnSpc>
          </a:pPr>
          <a:endParaRPr lang="en-US" sz="1600" baseline="0">
            <a:latin typeface="Gill Sans MT" pitchFamily="34" charset="0"/>
          </a:endParaRPr>
        </a:p>
        <a:p>
          <a:pPr algn="ctr">
            <a:lnSpc>
              <a:spcPts val="1500"/>
            </a:lnSpc>
          </a:pPr>
          <a:endParaRPr lang="en-US" sz="1500" u="sng">
            <a:solidFill>
              <a:schemeClr val="bg2"/>
            </a:solidFill>
            <a:latin typeface="Gill Sans MT" pitchFamily="34" charset="0"/>
          </a:endParaRPr>
        </a:p>
        <a:p>
          <a:pPr algn="ctr">
            <a:lnSpc>
              <a:spcPts val="1500"/>
            </a:lnSpc>
          </a:pPr>
          <a:endParaRPr lang="en-US" sz="1500" u="sng">
            <a:solidFill>
              <a:schemeClr val="bg2"/>
            </a:solidFill>
            <a:latin typeface="Gill Sans MT" pitchFamily="34" charset="0"/>
          </a:endParaRPr>
        </a:p>
        <a:p>
          <a:pPr algn="ctr">
            <a:lnSpc>
              <a:spcPts val="1500"/>
            </a:lnSpc>
          </a:pPr>
          <a:r>
            <a:rPr lang="en-US" sz="1500" u="sng">
              <a:solidFill>
                <a:schemeClr val="bg2"/>
              </a:solidFill>
              <a:latin typeface="Gill Sans MT" pitchFamily="34" charset="0"/>
            </a:rPr>
            <a:t>namozagy.com</a:t>
          </a:r>
        </a:p>
        <a:p>
          <a:pPr>
            <a:lnSpc>
              <a:spcPts val="1100"/>
            </a:lnSpc>
          </a:pPr>
          <a:endParaRPr lang="en-US" sz="1100"/>
        </a:p>
        <a:p>
          <a:pPr>
            <a:lnSpc>
              <a:spcPts val="1000"/>
            </a:lnSpc>
          </a:pPr>
          <a:r>
            <a:rPr lang="en-US" sz="1100"/>
            <a:t>                     </a:t>
          </a:r>
        </a:p>
      </xdr:txBody>
    </xdr:sp>
    <xdr:clientData/>
  </xdr:twoCellAnchor>
  <xdr:twoCellAnchor>
    <xdr:from>
      <xdr:col>4</xdr:col>
      <xdr:colOff>895350</xdr:colOff>
      <xdr:row>25</xdr:row>
      <xdr:rowOff>123825</xdr:rowOff>
    </xdr:from>
    <xdr:to>
      <xdr:col>7</xdr:col>
      <xdr:colOff>619125</xdr:colOff>
      <xdr:row>33</xdr:row>
      <xdr:rowOff>66675</xdr:rowOff>
    </xdr:to>
    <xdr:grpSp>
      <xdr:nvGrpSpPr>
        <xdr:cNvPr id="9" name="Group 6"/>
        <xdr:cNvGrpSpPr>
          <a:grpSpLocks/>
        </xdr:cNvGrpSpPr>
      </xdr:nvGrpSpPr>
      <xdr:grpSpPr bwMode="auto">
        <a:xfrm>
          <a:off x="5924550" y="5867400"/>
          <a:ext cx="2886075" cy="1695450"/>
          <a:chOff x="5305425" y="6172200"/>
          <a:chExt cx="2622976" cy="1767841"/>
        </a:xfrm>
      </xdr:grpSpPr>
      <xdr:sp macro="" textlink="">
        <xdr:nvSpPr>
          <xdr:cNvPr id="10" name="TextBox 9"/>
          <xdr:cNvSpPr txBox="1"/>
        </xdr:nvSpPr>
        <xdr:spPr bwMode="auto">
          <a:xfrm>
            <a:off x="5348708" y="6172200"/>
            <a:ext cx="2579693"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es-ES" sz="1200" b="1"/>
              <a:t>Do you need to make larger numbers? </a:t>
            </a:r>
            <a:r>
              <a:rPr lang="es-ES" sz="1200" b="0"/>
              <a:t>Enlargement increases. This is found in the lower right corner, or in the function bar at the top of the page.</a:t>
            </a:r>
            <a:endParaRPr lang="en-US" sz="1100" b="0"/>
          </a:p>
          <a:p>
            <a:pPr>
              <a:lnSpc>
                <a:spcPts val="1400"/>
              </a:lnSpc>
            </a:pPr>
            <a:r>
              <a:rPr lang="en-US" sz="1100"/>
              <a:t>                     </a:t>
            </a:r>
          </a:p>
        </xdr:txBody>
      </xdr:sp>
      <xdr:pic>
        <xdr:nvPicPr>
          <xdr:cNvPr id="11"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05425" y="7467600"/>
            <a:ext cx="2463038" cy="396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Right Arrow 11"/>
          <xdr:cNvSpPr/>
        </xdr:nvSpPr>
        <xdr:spPr>
          <a:xfrm rot="1302033">
            <a:off x="6794375" y="7373935"/>
            <a:ext cx="839699" cy="377404"/>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grpSp>
    <xdr:clientData/>
  </xdr:twoCellAnchor>
  <xdr:twoCellAnchor editAs="oneCell">
    <xdr:from>
      <xdr:col>5</xdr:col>
      <xdr:colOff>133350</xdr:colOff>
      <xdr:row>17</xdr:row>
      <xdr:rowOff>19050</xdr:rowOff>
    </xdr:from>
    <xdr:to>
      <xdr:col>7</xdr:col>
      <xdr:colOff>104775</xdr:colOff>
      <xdr:row>25</xdr:row>
      <xdr:rowOff>85725</xdr:rowOff>
    </xdr:to>
    <xdr:pic>
      <xdr:nvPicPr>
        <xdr:cNvPr id="13" name="Picture 1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77000" y="4010025"/>
          <a:ext cx="1819275" cy="1819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850719</xdr:colOff>
      <xdr:row>44</xdr:row>
      <xdr:rowOff>36739</xdr:rowOff>
    </xdr:from>
    <xdr:to>
      <xdr:col>5</xdr:col>
      <xdr:colOff>1174588</xdr:colOff>
      <xdr:row>50</xdr:row>
      <xdr:rowOff>181520</xdr:rowOff>
    </xdr:to>
    <xdr:sp macro="" textlink="">
      <xdr:nvSpPr>
        <xdr:cNvPr id="2" name="Text Box 7" descr="Need Help? Ask SCORE."/>
        <xdr:cNvSpPr txBox="1">
          <a:spLocks noChangeAspect="1" noChangeArrowheads="1"/>
        </xdr:cNvSpPr>
      </xdr:nvSpPr>
      <xdr:spPr bwMode="auto">
        <a:xfrm>
          <a:off x="5775144" y="8542564"/>
          <a:ext cx="2819419" cy="1306831"/>
        </a:xfrm>
        <a:prstGeom prst="rect">
          <a:avLst/>
        </a:prstGeom>
        <a:noFill/>
        <a:ln w="57150">
          <a:solidFill>
            <a:srgbClr val="319B96"/>
          </a:solidFill>
          <a:miter lim="800000"/>
          <a:headEnd/>
          <a:tailEnd/>
        </a:ln>
      </xdr:spPr>
      <xdr:txBody>
        <a:bodyPr vertOverflow="clip" wrap="square" lIns="91440" tIns="91440" rIns="91440" bIns="91440" anchor="ctr" anchorCtr="0" upright="1">
          <a:noAutofit/>
        </a:bodyPr>
        <a:lstStyle/>
        <a:p>
          <a:pPr marL="0" marR="0" lvl="0" indent="0" algn="l" defTabSz="914400" rtl="1" eaLnBrk="1" fontAlgn="auto" latinLnBrk="0" hangingPunct="1">
            <a:lnSpc>
              <a:spcPct val="100000"/>
            </a:lnSpc>
            <a:spcBef>
              <a:spcPts val="600"/>
            </a:spcBef>
            <a:spcAft>
              <a:spcPts val="0"/>
            </a:spcAft>
            <a:buClrTx/>
            <a:buSzTx/>
            <a:buFontTx/>
            <a:buNone/>
            <a:tabLst/>
            <a:defRPr sz="1000"/>
          </a:pP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Note: For existing businesses, this should be the "bucket"  </a:t>
          </a:r>
          <a:r>
            <a:rPr lang="en-US" sz="1100" b="0" i="0" baseline="0">
              <a:solidFill>
                <a:sysClr val="windowText" lastClr="000000"/>
              </a:solidFill>
              <a:effectLst/>
              <a:latin typeface="Gill Sans MT" pitchFamily="34" charset="0"/>
              <a:ea typeface="+mn-ea"/>
              <a:cs typeface="+mn-cs"/>
            </a:rPr>
            <a:t>of cash plus receivables that will be turned </a:t>
          </a: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into cash, minus payables that will be paid out in cash in the near term (i.e. in the first months of the plan) </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13809</xdr:colOff>
      <xdr:row>0</xdr:row>
      <xdr:rowOff>171450</xdr:rowOff>
    </xdr:from>
    <xdr:to>
      <xdr:col>9</xdr:col>
      <xdr:colOff>401375</xdr:colOff>
      <xdr:row>7</xdr:row>
      <xdr:rowOff>58097</xdr:rowOff>
    </xdr:to>
    <xdr:sp macro="" textlink="">
      <xdr:nvSpPr>
        <xdr:cNvPr id="2" name="TextBox 1"/>
        <xdr:cNvSpPr txBox="1"/>
      </xdr:nvSpPr>
      <xdr:spPr>
        <a:xfrm>
          <a:off x="5843109" y="171450"/>
          <a:ext cx="3883241" cy="1591622"/>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900" baseline="0">
            <a:solidFill>
              <a:sysClr val="windowText" lastClr="000000"/>
            </a:solidFill>
            <a:latin typeface="Gill Sans MT" pitchFamily="34" charset="0"/>
          </a:endParaRPr>
        </a:p>
        <a:p>
          <a:r>
            <a:rPr lang="en-US" sz="900" baseline="0">
              <a:solidFill>
                <a:sysClr val="windowText" lastClr="000000"/>
              </a:solidFill>
              <a:latin typeface="Gill Sans MT" pitchFamily="34" charset="0"/>
            </a:rPr>
            <a:t>This sheet will populate based on information in the year 1 Sales Forecast.</a:t>
          </a:r>
        </a:p>
        <a:p>
          <a:endParaRPr lang="en-US" sz="900" baseline="0">
            <a:solidFill>
              <a:sysClr val="windowText" lastClr="000000"/>
            </a:solidFill>
            <a:effectLst/>
            <a:latin typeface="Gill Sans MT" pitchFamily="34" charset="0"/>
          </a:endParaRPr>
        </a:p>
        <a:p>
          <a:r>
            <a:rPr lang="en-US" sz="900">
              <a:solidFill>
                <a:sysClr val="windowText" lastClr="000000"/>
              </a:solidFill>
              <a:effectLst/>
              <a:latin typeface="Gill Sans MT" pitchFamily="34" charset="0"/>
            </a:rPr>
            <a:t>The</a:t>
          </a:r>
          <a:r>
            <a:rPr lang="en-US" sz="900" baseline="0">
              <a:solidFill>
                <a:sysClr val="windowText" lastClr="000000"/>
              </a:solidFill>
              <a:effectLst/>
              <a:latin typeface="Gill Sans MT" pitchFamily="34" charset="0"/>
            </a:rPr>
            <a:t> included growth rate is just a starting point, if you can provide a more accurate prediction for each month, unlock the sheet (see Directions) and change the value for that month. Please note that you will no longer have a formula in that cell once you change the value, so you may want to save a copy of this spreadsheet under a different name before doing so. </a:t>
          </a:r>
          <a:endParaRPr lang="en-US" sz="900">
            <a:solidFill>
              <a:sysClr val="windowText" lastClr="000000"/>
            </a:solidFill>
            <a:effectLst/>
            <a:latin typeface="Gill Sans MT" pitchFamily="34" charset="0"/>
          </a:endParaRPr>
        </a:p>
        <a:p>
          <a:endParaRPr lang="en-US" sz="9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3</xdr:col>
      <xdr:colOff>523875</xdr:colOff>
      <xdr:row>1</xdr:row>
      <xdr:rowOff>140176</xdr:rowOff>
    </xdr:from>
    <xdr:to>
      <xdr:col>14</xdr:col>
      <xdr:colOff>838201</xdr:colOff>
      <xdr:row>4</xdr:row>
      <xdr:rowOff>28489</xdr:rowOff>
    </xdr:to>
    <xdr:sp macro="" textlink="">
      <xdr:nvSpPr>
        <xdr:cNvPr id="2" name="TextBox 1"/>
        <xdr:cNvSpPr txBox="1"/>
      </xdr:nvSpPr>
      <xdr:spPr>
        <a:xfrm>
          <a:off x="4552950" y="340201"/>
          <a:ext cx="8534401" cy="583638"/>
        </a:xfrm>
        <a:prstGeom prst="rect">
          <a:avLst/>
        </a:prstGeom>
        <a:solidFill>
          <a:schemeClr val="bg1"/>
        </a:solidFill>
        <a:ln w="57150" cmpd="sng">
          <a:solidFill>
            <a:srgbClr val="319B9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ysClr val="windowText" lastClr="000000"/>
              </a:solidFill>
              <a:latin typeface="Gill Sans MT" pitchFamily="34" charset="0"/>
            </a:rPr>
            <a:t>NOTE: To only</a:t>
          </a:r>
          <a:r>
            <a:rPr lang="en-US" sz="900" baseline="0">
              <a:solidFill>
                <a:sysClr val="windowText" lastClr="000000"/>
              </a:solidFill>
              <a:latin typeface="Gill Sans MT" pitchFamily="34" charset="0"/>
            </a:rPr>
            <a:t> view the annual total side-by-side, highlight columns C through N</a:t>
          </a:r>
        </a:p>
        <a:p>
          <a:r>
            <a:rPr lang="en-US" sz="900" baseline="0">
              <a:solidFill>
                <a:sysClr val="windowText" lastClr="000000"/>
              </a:solidFill>
              <a:latin typeface="Gill Sans MT" pitchFamily="34" charset="0"/>
            </a:rPr>
            <a:t> and right-click. Then select "Hide". Use the same procedure to Hide columns P through AA. </a:t>
          </a:r>
          <a:r>
            <a:rPr lang="en-US" sz="900" baseline="0">
              <a:solidFill>
                <a:sysClr val="windowText" lastClr="000000"/>
              </a:solidFill>
              <a:effectLst/>
              <a:latin typeface="Gill Sans MT" pitchFamily="34" charset="0"/>
              <a:ea typeface="+mn-ea"/>
              <a:cs typeface="+mn-cs"/>
            </a:rPr>
            <a:t>To show them again, highlight columns B, O and AB, right-click and select "Unhide". </a:t>
          </a:r>
          <a:endParaRPr lang="en-US" sz="900">
            <a:solidFill>
              <a:sysClr val="windowText" lastClr="000000"/>
            </a:solidFill>
            <a:latin typeface="Gill Sans MT"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3</xdr:col>
      <xdr:colOff>534763</xdr:colOff>
      <xdr:row>7</xdr:row>
      <xdr:rowOff>200023</xdr:rowOff>
    </xdr:from>
    <xdr:ext cx="3521884" cy="3124201"/>
    <xdr:sp macro="" textlink="">
      <xdr:nvSpPr>
        <xdr:cNvPr id="2" name="Text Box 2"/>
        <xdr:cNvSpPr txBox="1">
          <a:spLocks noChangeAspect="1" noChangeArrowheads="1"/>
        </xdr:cNvSpPr>
      </xdr:nvSpPr>
      <xdr:spPr bwMode="auto">
        <a:xfrm>
          <a:off x="5297263" y="1600198"/>
          <a:ext cx="3521884" cy="3124201"/>
        </a:xfrm>
        <a:prstGeom prst="rect">
          <a:avLst/>
        </a:prstGeom>
        <a:noFill/>
        <a:ln w="57150">
          <a:solidFill>
            <a:srgbClr val="319B96"/>
          </a:solidFill>
          <a:miter lim="800000"/>
          <a:headEnd/>
          <a:tailEnd/>
        </a:ln>
      </xdr:spPr>
      <xdr:txBody>
        <a:bodyPr vertOverflow="clip" wrap="square" lIns="324000" tIns="324000" rIns="324000" bIns="324000" anchor="t" upright="1">
          <a:noAutofit/>
        </a:bodyPr>
        <a:lstStyle/>
        <a:p>
          <a:pPr algn="l" rtl="0">
            <a:lnSpc>
              <a:spcPts val="900"/>
            </a:lnSpc>
            <a:defRPr sz="1000"/>
          </a:pPr>
          <a:r>
            <a:rPr lang="en-US" sz="900" b="1" i="0" u="none" strike="noStrike" baseline="0">
              <a:solidFill>
                <a:sysClr val="windowText" lastClr="000000"/>
              </a:solidFill>
              <a:latin typeface="Gill Sans MT" pitchFamily="34" charset="0"/>
              <a:cs typeface="Arial"/>
            </a:rPr>
            <a:t>Breakeven Sales Level</a:t>
          </a:r>
        </a:p>
        <a:p>
          <a:pPr algn="l" rtl="0">
            <a:lnSpc>
              <a:spcPts val="800"/>
            </a:lnSpc>
            <a:defRPr sz="1000"/>
          </a:pPr>
          <a:endParaRPr lang="en-US" sz="900" b="1" i="0" u="sng" strike="noStrike" baseline="0">
            <a:solidFill>
              <a:sysClr val="windowText" lastClr="000000"/>
            </a:solidFill>
            <a:latin typeface="Gill Sans MT" pitchFamily="34" charset="0"/>
            <a:cs typeface="Arial"/>
          </a:endParaRPr>
        </a:p>
        <a:p>
          <a:pPr algn="l" rtl="0">
            <a:lnSpc>
              <a:spcPts val="900"/>
            </a:lnSpc>
            <a:defRPr sz="1000"/>
          </a:pPr>
          <a:r>
            <a:rPr lang="en-US" sz="900" b="0" i="0" u="none" strike="noStrike" baseline="0">
              <a:solidFill>
                <a:sysClr val="windowText" lastClr="000000"/>
              </a:solidFill>
              <a:latin typeface="Gill Sans MT" pitchFamily="34" charset="0"/>
              <a:cs typeface="Arial"/>
            </a:rPr>
            <a:t>The breakeven sales level represents the number of units that must be sold in order to break even. This means that revenues are equal to expenses. Any units sold beyond this quantity will allow the company to generate net income.</a:t>
          </a:r>
          <a:endParaRPr lang="en-US" sz="900" b="1" i="0" u="sng" strike="noStrike" baseline="0">
            <a:solidFill>
              <a:sysClr val="windowText" lastClr="000000"/>
            </a:solidFill>
            <a:latin typeface="Gill Sans MT" pitchFamily="34" charset="0"/>
            <a:cs typeface="Arial"/>
          </a:endParaRPr>
        </a:p>
        <a:p>
          <a:pPr algn="l" rtl="0">
            <a:lnSpc>
              <a:spcPts val="800"/>
            </a:lnSpc>
            <a:defRPr sz="1000"/>
          </a:pPr>
          <a:endParaRPr lang="en-US" sz="900" b="0" i="0" u="none" strike="noStrike" baseline="0">
            <a:solidFill>
              <a:sysClr val="windowText" lastClr="000000"/>
            </a:solidFill>
            <a:latin typeface="Gill Sans MT" pitchFamily="34" charset="0"/>
            <a:cs typeface="Arial"/>
          </a:endParaRPr>
        </a:p>
        <a:p>
          <a:pPr algn="l" rtl="0">
            <a:lnSpc>
              <a:spcPts val="800"/>
            </a:lnSpc>
            <a:defRPr sz="1000"/>
          </a:pPr>
          <a:r>
            <a:rPr lang="en-US" sz="900" b="0" i="0" u="none" strike="noStrike" baseline="0">
              <a:solidFill>
                <a:sysClr val="windowText" lastClr="000000"/>
              </a:solidFill>
              <a:latin typeface="Gill Sans MT" pitchFamily="34" charset="0"/>
              <a:cs typeface="Arial"/>
            </a:rPr>
            <a:t>One of the best uses of breakeven analysis is to play with various scenarios. For instance, if you add another person to the payroll, how many extra sales dollars will be needed to recover the extra salary expense? If you borrow, how much will be needed to cover the increased principal and interest payments? Many owners, especially retailers, like to calculate a daily breakdown. This gives everyone a target to shoot at for the day.</a:t>
          </a: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900"/>
            </a:lnSpc>
            <a:defRPr sz="1000"/>
          </a:pPr>
          <a:r>
            <a:rPr lang="en-US" sz="900" b="0" i="0" u="none" strike="noStrike" baseline="0">
              <a:solidFill>
                <a:sysClr val="windowText" lastClr="000000"/>
              </a:solidFill>
              <a:latin typeface="Gill Sans MT" pitchFamily="34" charset="0"/>
              <a:cs typeface="Arial"/>
            </a:rPr>
            <a:t>Equation:</a:t>
          </a: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900"/>
            </a:lnSpc>
            <a:defRPr sz="1000"/>
          </a:pPr>
          <a:r>
            <a:rPr lang="en-US" sz="900" b="0" i="0" u="none" strike="noStrike" baseline="0">
              <a:solidFill>
                <a:sysClr val="windowText" lastClr="000000"/>
              </a:solidFill>
              <a:latin typeface="Gill Sans MT" pitchFamily="34" charset="0"/>
              <a:cs typeface="Arial"/>
            </a:rPr>
            <a:t>Breakeven Point = Total Fixed Costs/ (Gross Margin/Total Sales)</a:t>
          </a: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800"/>
            </a:lnSpc>
            <a:defRPr sz="1000"/>
          </a:pPr>
          <a:endParaRPr lang="en-US" sz="900" b="0" i="0" u="none" strike="noStrike" baseline="0">
            <a:solidFill>
              <a:sysClr val="windowText" lastClr="000000"/>
            </a:solidFill>
            <a:latin typeface="Gill Sans MT" pitchFamily="34" charset="0"/>
            <a:cs typeface="Arial"/>
          </a:endParaRP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800"/>
            </a:lnSpc>
            <a:defRPr sz="1000"/>
          </a:pPr>
          <a:endParaRPr lang="en-US" sz="900" b="0" i="0" u="none" strike="noStrike" baseline="0">
            <a:solidFill>
              <a:sysClr val="windowText" lastClr="000000"/>
            </a:solidFill>
            <a:latin typeface="Gill Sans MT" pitchFamily="34" charset="0"/>
            <a:cs typeface="Arial"/>
          </a:endParaRP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7</xdr:col>
      <xdr:colOff>326813</xdr:colOff>
      <xdr:row>6</xdr:row>
      <xdr:rowOff>63710</xdr:rowOff>
    </xdr:from>
    <xdr:ext cx="2577606" cy="2180380"/>
    <xdr:sp macro="" textlink="">
      <xdr:nvSpPr>
        <xdr:cNvPr id="2" name="TextBox 1"/>
        <xdr:cNvSpPr txBox="1">
          <a:spLocks noChangeAspect="1"/>
        </xdr:cNvSpPr>
      </xdr:nvSpPr>
      <xdr:spPr>
        <a:xfrm>
          <a:off x="9185063" y="1263860"/>
          <a:ext cx="2577606" cy="2180380"/>
        </a:xfrm>
        <a:prstGeom prst="rect">
          <a:avLst/>
        </a:prstGeom>
        <a:noFill/>
        <a:ln w="57150" cmpd="sng">
          <a:solidFill>
            <a:srgbClr val="319B9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shows some common financial ratios.</a:t>
          </a:r>
          <a:r>
            <a:rPr lang="en-US" sz="900" b="0" i="0" u="none" strike="noStrike" baseline="0">
              <a:solidFill>
                <a:sysClr val="windowText" lastClr="000000"/>
              </a:solidFill>
              <a:effectLst/>
              <a:latin typeface="Gill Sans MT" pitchFamily="34" charset="0"/>
              <a:ea typeface="+mn-ea"/>
              <a:cs typeface="+mn-cs"/>
            </a:rPr>
            <a:t> There is a column where you can enter industry norms. To get these, contact your local library or bank to see if they have copies of the Risk Management Association (RMA) Annual Statement or refer to industry publications and trade magazines. Speak with your mentor to ensure you are using the appropriate resources. </a:t>
          </a:r>
          <a:endParaRPr lang="en-US" sz="900" b="0">
            <a:solidFill>
              <a:sysClr val="windowText" lastClr="000000"/>
            </a:solidFill>
            <a:latin typeface="Gill Sans MT" pitchFamily="34" charset="0"/>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5</xdr:col>
      <xdr:colOff>32365</xdr:colOff>
      <xdr:row>6</xdr:row>
      <xdr:rowOff>25399</xdr:rowOff>
    </xdr:from>
    <xdr:ext cx="3417692" cy="1452496"/>
    <xdr:sp macro="" textlink="">
      <xdr:nvSpPr>
        <xdr:cNvPr id="2" name="TextBox 1"/>
        <xdr:cNvSpPr txBox="1">
          <a:spLocks noChangeAspect="1"/>
        </xdr:cNvSpPr>
      </xdr:nvSpPr>
      <xdr:spPr>
        <a:xfrm>
          <a:off x="9328765" y="1225549"/>
          <a:ext cx="3417692" cy="1452496"/>
        </a:xfrm>
        <a:prstGeom prst="rect">
          <a:avLst/>
        </a:prstGeom>
        <a:noFill/>
        <a:ln w="57150" cmpd="sng">
          <a:solidFill>
            <a:srgbClr val="319B9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performs a few tests on your numbers to see if they seem within certain reasonable ranges.</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Remember, no computer can tell whether your projections are truly well-constructed, only a human can do that.</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But these tests can at least look for values that are critically out of range.</a:t>
          </a:r>
          <a:r>
            <a:rPr lang="en-US" sz="900" b="0">
              <a:solidFill>
                <a:sysClr val="windowText" lastClr="000000"/>
              </a:solidFill>
              <a:latin typeface="Gill Sans MT" pitchFamily="34" charset="0"/>
            </a:rPr>
            <a:t> </a:t>
          </a:r>
        </a:p>
      </xdr:txBody>
    </xdr:sp>
    <xdr:clientData fPrint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bdo%20Ibrahiem\Downloads\Excel-business-plan-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1-StartingPoint"/>
      <sheetName val="2a-PayrollYear1"/>
      <sheetName val="2b-PayrollYrs1-3"/>
      <sheetName val="3a-SalesForecastYear1"/>
      <sheetName val="3b-SalesForecastYrs1-3"/>
      <sheetName val="4-AdditionalInputs"/>
      <sheetName val="5a-OpExYear1"/>
      <sheetName val="5b-OpExYrs1-3"/>
      <sheetName val="6a-CashFlowYear1"/>
      <sheetName val="6b-CashFlowYrs1-3"/>
      <sheetName val="7a-IncomeStatementYear1"/>
      <sheetName val="7b-IncomeStatementYrs1-3"/>
      <sheetName val="8-BalanceSheet"/>
      <sheetName val="BreakevenAnalysis"/>
      <sheetName val="FinancialRatios"/>
      <sheetName val="DiagnosticTools"/>
      <sheetName val="COGS Calculator"/>
      <sheetName val="Amortization&amp;Depreciation"/>
      <sheetName val="Revision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namozagy.com/"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19B96"/>
    <pageSetUpPr fitToPage="1"/>
  </sheetPr>
  <dimension ref="A1:P43"/>
  <sheetViews>
    <sheetView showGridLines="0" tabSelected="1" zoomScaleNormal="100" workbookViewId="0">
      <selection activeCell="J32" sqref="J32"/>
    </sheetView>
  </sheetViews>
  <sheetFormatPr defaultColWidth="8.875" defaultRowHeight="17.25" x14ac:dyDescent="0.35"/>
  <cols>
    <col min="1" max="1" width="5.25" style="3" customWidth="1"/>
    <col min="2" max="2" width="11" style="3" customWidth="1"/>
    <col min="3" max="3" width="28" style="3" customWidth="1"/>
    <col min="4" max="4" width="21.75" style="3" bestFit="1" customWidth="1"/>
    <col min="5" max="5" width="17.25" style="3" bestFit="1" customWidth="1"/>
    <col min="6" max="6" width="15.375" style="3" bestFit="1" customWidth="1"/>
    <col min="7" max="7" width="8.875" style="3"/>
    <col min="8" max="8" width="9.75" style="3" bestFit="1" customWidth="1"/>
    <col min="9" max="11" width="8.875" style="3"/>
    <col min="12" max="12" width="19.125" style="3" customWidth="1"/>
    <col min="13" max="13" width="13.375" style="3" bestFit="1" customWidth="1"/>
    <col min="14" max="256" width="8.875" style="3"/>
    <col min="257" max="257" width="5.25" style="3" customWidth="1"/>
    <col min="258" max="258" width="11" style="3" customWidth="1"/>
    <col min="259" max="259" width="28" style="3" customWidth="1"/>
    <col min="260" max="260" width="21.75" style="3" bestFit="1" customWidth="1"/>
    <col min="261" max="261" width="17.25" style="3" bestFit="1" customWidth="1"/>
    <col min="262" max="262" width="15.375" style="3" bestFit="1" customWidth="1"/>
    <col min="263" max="263" width="8.875" style="3"/>
    <col min="264" max="264" width="9.75" style="3" bestFit="1" customWidth="1"/>
    <col min="265" max="267" width="8.875" style="3"/>
    <col min="268" max="268" width="19.125" style="3" customWidth="1"/>
    <col min="269" max="269" width="13.375" style="3" bestFit="1" customWidth="1"/>
    <col min="270" max="512" width="8.875" style="3"/>
    <col min="513" max="513" width="5.25" style="3" customWidth="1"/>
    <col min="514" max="514" width="11" style="3" customWidth="1"/>
    <col min="515" max="515" width="28" style="3" customWidth="1"/>
    <col min="516" max="516" width="21.75" style="3" bestFit="1" customWidth="1"/>
    <col min="517" max="517" width="17.25" style="3" bestFit="1" customWidth="1"/>
    <col min="518" max="518" width="15.375" style="3" bestFit="1" customWidth="1"/>
    <col min="519" max="519" width="8.875" style="3"/>
    <col min="520" max="520" width="9.75" style="3" bestFit="1" customWidth="1"/>
    <col min="521" max="523" width="8.875" style="3"/>
    <col min="524" max="524" width="19.125" style="3" customWidth="1"/>
    <col min="525" max="525" width="13.375" style="3" bestFit="1" customWidth="1"/>
    <col min="526" max="768" width="8.875" style="3"/>
    <col min="769" max="769" width="5.25" style="3" customWidth="1"/>
    <col min="770" max="770" width="11" style="3" customWidth="1"/>
    <col min="771" max="771" width="28" style="3" customWidth="1"/>
    <col min="772" max="772" width="21.75" style="3" bestFit="1" customWidth="1"/>
    <col min="773" max="773" width="17.25" style="3" bestFit="1" customWidth="1"/>
    <col min="774" max="774" width="15.375" style="3" bestFit="1" customWidth="1"/>
    <col min="775" max="775" width="8.875" style="3"/>
    <col min="776" max="776" width="9.75" style="3" bestFit="1" customWidth="1"/>
    <col min="777" max="779" width="8.875" style="3"/>
    <col min="780" max="780" width="19.125" style="3" customWidth="1"/>
    <col min="781" max="781" width="13.375" style="3" bestFit="1" customWidth="1"/>
    <col min="782" max="1024" width="8.875" style="3"/>
    <col min="1025" max="1025" width="5.25" style="3" customWidth="1"/>
    <col min="1026" max="1026" width="11" style="3" customWidth="1"/>
    <col min="1027" max="1027" width="28" style="3" customWidth="1"/>
    <col min="1028" max="1028" width="21.75" style="3" bestFit="1" customWidth="1"/>
    <col min="1029" max="1029" width="17.25" style="3" bestFit="1" customWidth="1"/>
    <col min="1030" max="1030" width="15.375" style="3" bestFit="1" customWidth="1"/>
    <col min="1031" max="1031" width="8.875" style="3"/>
    <col min="1032" max="1032" width="9.75" style="3" bestFit="1" customWidth="1"/>
    <col min="1033" max="1035" width="8.875" style="3"/>
    <col min="1036" max="1036" width="19.125" style="3" customWidth="1"/>
    <col min="1037" max="1037" width="13.375" style="3" bestFit="1" customWidth="1"/>
    <col min="1038" max="1280" width="8.875" style="3"/>
    <col min="1281" max="1281" width="5.25" style="3" customWidth="1"/>
    <col min="1282" max="1282" width="11" style="3" customWidth="1"/>
    <col min="1283" max="1283" width="28" style="3" customWidth="1"/>
    <col min="1284" max="1284" width="21.75" style="3" bestFit="1" customWidth="1"/>
    <col min="1285" max="1285" width="17.25" style="3" bestFit="1" customWidth="1"/>
    <col min="1286" max="1286" width="15.375" style="3" bestFit="1" customWidth="1"/>
    <col min="1287" max="1287" width="8.875" style="3"/>
    <col min="1288" max="1288" width="9.75" style="3" bestFit="1" customWidth="1"/>
    <col min="1289" max="1291" width="8.875" style="3"/>
    <col min="1292" max="1292" width="19.125" style="3" customWidth="1"/>
    <col min="1293" max="1293" width="13.375" style="3" bestFit="1" customWidth="1"/>
    <col min="1294" max="1536" width="8.875" style="3"/>
    <col min="1537" max="1537" width="5.25" style="3" customWidth="1"/>
    <col min="1538" max="1538" width="11" style="3" customWidth="1"/>
    <col min="1539" max="1539" width="28" style="3" customWidth="1"/>
    <col min="1540" max="1540" width="21.75" style="3" bestFit="1" customWidth="1"/>
    <col min="1541" max="1541" width="17.25" style="3" bestFit="1" customWidth="1"/>
    <col min="1542" max="1542" width="15.375" style="3" bestFit="1" customWidth="1"/>
    <col min="1543" max="1543" width="8.875" style="3"/>
    <col min="1544" max="1544" width="9.75" style="3" bestFit="1" customWidth="1"/>
    <col min="1545" max="1547" width="8.875" style="3"/>
    <col min="1548" max="1548" width="19.125" style="3" customWidth="1"/>
    <col min="1549" max="1549" width="13.375" style="3" bestFit="1" customWidth="1"/>
    <col min="1550" max="1792" width="8.875" style="3"/>
    <col min="1793" max="1793" width="5.25" style="3" customWidth="1"/>
    <col min="1794" max="1794" width="11" style="3" customWidth="1"/>
    <col min="1795" max="1795" width="28" style="3" customWidth="1"/>
    <col min="1796" max="1796" width="21.75" style="3" bestFit="1" customWidth="1"/>
    <col min="1797" max="1797" width="17.25" style="3" bestFit="1" customWidth="1"/>
    <col min="1798" max="1798" width="15.375" style="3" bestFit="1" customWidth="1"/>
    <col min="1799" max="1799" width="8.875" style="3"/>
    <col min="1800" max="1800" width="9.75" style="3" bestFit="1" customWidth="1"/>
    <col min="1801" max="1803" width="8.875" style="3"/>
    <col min="1804" max="1804" width="19.125" style="3" customWidth="1"/>
    <col min="1805" max="1805" width="13.375" style="3" bestFit="1" customWidth="1"/>
    <col min="1806" max="2048" width="8.875" style="3"/>
    <col min="2049" max="2049" width="5.25" style="3" customWidth="1"/>
    <col min="2050" max="2050" width="11" style="3" customWidth="1"/>
    <col min="2051" max="2051" width="28" style="3" customWidth="1"/>
    <col min="2052" max="2052" width="21.75" style="3" bestFit="1" customWidth="1"/>
    <col min="2053" max="2053" width="17.25" style="3" bestFit="1" customWidth="1"/>
    <col min="2054" max="2054" width="15.375" style="3" bestFit="1" customWidth="1"/>
    <col min="2055" max="2055" width="8.875" style="3"/>
    <col min="2056" max="2056" width="9.75" style="3" bestFit="1" customWidth="1"/>
    <col min="2057" max="2059" width="8.875" style="3"/>
    <col min="2060" max="2060" width="19.125" style="3" customWidth="1"/>
    <col min="2061" max="2061" width="13.375" style="3" bestFit="1" customWidth="1"/>
    <col min="2062" max="2304" width="8.875" style="3"/>
    <col min="2305" max="2305" width="5.25" style="3" customWidth="1"/>
    <col min="2306" max="2306" width="11" style="3" customWidth="1"/>
    <col min="2307" max="2307" width="28" style="3" customWidth="1"/>
    <col min="2308" max="2308" width="21.75" style="3" bestFit="1" customWidth="1"/>
    <col min="2309" max="2309" width="17.25" style="3" bestFit="1" customWidth="1"/>
    <col min="2310" max="2310" width="15.375" style="3" bestFit="1" customWidth="1"/>
    <col min="2311" max="2311" width="8.875" style="3"/>
    <col min="2312" max="2312" width="9.75" style="3" bestFit="1" customWidth="1"/>
    <col min="2313" max="2315" width="8.875" style="3"/>
    <col min="2316" max="2316" width="19.125" style="3" customWidth="1"/>
    <col min="2317" max="2317" width="13.375" style="3" bestFit="1" customWidth="1"/>
    <col min="2318" max="2560" width="8.875" style="3"/>
    <col min="2561" max="2561" width="5.25" style="3" customWidth="1"/>
    <col min="2562" max="2562" width="11" style="3" customWidth="1"/>
    <col min="2563" max="2563" width="28" style="3" customWidth="1"/>
    <col min="2564" max="2564" width="21.75" style="3" bestFit="1" customWidth="1"/>
    <col min="2565" max="2565" width="17.25" style="3" bestFit="1" customWidth="1"/>
    <col min="2566" max="2566" width="15.375" style="3" bestFit="1" customWidth="1"/>
    <col min="2567" max="2567" width="8.875" style="3"/>
    <col min="2568" max="2568" width="9.75" style="3" bestFit="1" customWidth="1"/>
    <col min="2569" max="2571" width="8.875" style="3"/>
    <col min="2572" max="2572" width="19.125" style="3" customWidth="1"/>
    <col min="2573" max="2573" width="13.375" style="3" bestFit="1" customWidth="1"/>
    <col min="2574" max="2816" width="8.875" style="3"/>
    <col min="2817" max="2817" width="5.25" style="3" customWidth="1"/>
    <col min="2818" max="2818" width="11" style="3" customWidth="1"/>
    <col min="2819" max="2819" width="28" style="3" customWidth="1"/>
    <col min="2820" max="2820" width="21.75" style="3" bestFit="1" customWidth="1"/>
    <col min="2821" max="2821" width="17.25" style="3" bestFit="1" customWidth="1"/>
    <col min="2822" max="2822" width="15.375" style="3" bestFit="1" customWidth="1"/>
    <col min="2823" max="2823" width="8.875" style="3"/>
    <col min="2824" max="2824" width="9.75" style="3" bestFit="1" customWidth="1"/>
    <col min="2825" max="2827" width="8.875" style="3"/>
    <col min="2828" max="2828" width="19.125" style="3" customWidth="1"/>
    <col min="2829" max="2829" width="13.375" style="3" bestFit="1" customWidth="1"/>
    <col min="2830" max="3072" width="8.875" style="3"/>
    <col min="3073" max="3073" width="5.25" style="3" customWidth="1"/>
    <col min="3074" max="3074" width="11" style="3" customWidth="1"/>
    <col min="3075" max="3075" width="28" style="3" customWidth="1"/>
    <col min="3076" max="3076" width="21.75" style="3" bestFit="1" customWidth="1"/>
    <col min="3077" max="3077" width="17.25" style="3" bestFit="1" customWidth="1"/>
    <col min="3078" max="3078" width="15.375" style="3" bestFit="1" customWidth="1"/>
    <col min="3079" max="3079" width="8.875" style="3"/>
    <col min="3080" max="3080" width="9.75" style="3" bestFit="1" customWidth="1"/>
    <col min="3081" max="3083" width="8.875" style="3"/>
    <col min="3084" max="3084" width="19.125" style="3" customWidth="1"/>
    <col min="3085" max="3085" width="13.375" style="3" bestFit="1" customWidth="1"/>
    <col min="3086" max="3328" width="8.875" style="3"/>
    <col min="3329" max="3329" width="5.25" style="3" customWidth="1"/>
    <col min="3330" max="3330" width="11" style="3" customWidth="1"/>
    <col min="3331" max="3331" width="28" style="3" customWidth="1"/>
    <col min="3332" max="3332" width="21.75" style="3" bestFit="1" customWidth="1"/>
    <col min="3333" max="3333" width="17.25" style="3" bestFit="1" customWidth="1"/>
    <col min="3334" max="3334" width="15.375" style="3" bestFit="1" customWidth="1"/>
    <col min="3335" max="3335" width="8.875" style="3"/>
    <col min="3336" max="3336" width="9.75" style="3" bestFit="1" customWidth="1"/>
    <col min="3337" max="3339" width="8.875" style="3"/>
    <col min="3340" max="3340" width="19.125" style="3" customWidth="1"/>
    <col min="3341" max="3341" width="13.375" style="3" bestFit="1" customWidth="1"/>
    <col min="3342" max="3584" width="8.875" style="3"/>
    <col min="3585" max="3585" width="5.25" style="3" customWidth="1"/>
    <col min="3586" max="3586" width="11" style="3" customWidth="1"/>
    <col min="3587" max="3587" width="28" style="3" customWidth="1"/>
    <col min="3588" max="3588" width="21.75" style="3" bestFit="1" customWidth="1"/>
    <col min="3589" max="3589" width="17.25" style="3" bestFit="1" customWidth="1"/>
    <col min="3590" max="3590" width="15.375" style="3" bestFit="1" customWidth="1"/>
    <col min="3591" max="3591" width="8.875" style="3"/>
    <col min="3592" max="3592" width="9.75" style="3" bestFit="1" customWidth="1"/>
    <col min="3593" max="3595" width="8.875" style="3"/>
    <col min="3596" max="3596" width="19.125" style="3" customWidth="1"/>
    <col min="3597" max="3597" width="13.375" style="3" bestFit="1" customWidth="1"/>
    <col min="3598" max="3840" width="8.875" style="3"/>
    <col min="3841" max="3841" width="5.25" style="3" customWidth="1"/>
    <col min="3842" max="3842" width="11" style="3" customWidth="1"/>
    <col min="3843" max="3843" width="28" style="3" customWidth="1"/>
    <col min="3844" max="3844" width="21.75" style="3" bestFit="1" customWidth="1"/>
    <col min="3845" max="3845" width="17.25" style="3" bestFit="1" customWidth="1"/>
    <col min="3846" max="3846" width="15.375" style="3" bestFit="1" customWidth="1"/>
    <col min="3847" max="3847" width="8.875" style="3"/>
    <col min="3848" max="3848" width="9.75" style="3" bestFit="1" customWidth="1"/>
    <col min="3849" max="3851" width="8.875" style="3"/>
    <col min="3852" max="3852" width="19.125" style="3" customWidth="1"/>
    <col min="3853" max="3853" width="13.375" style="3" bestFit="1" customWidth="1"/>
    <col min="3854" max="4096" width="8.875" style="3"/>
    <col min="4097" max="4097" width="5.25" style="3" customWidth="1"/>
    <col min="4098" max="4098" width="11" style="3" customWidth="1"/>
    <col min="4099" max="4099" width="28" style="3" customWidth="1"/>
    <col min="4100" max="4100" width="21.75" style="3" bestFit="1" customWidth="1"/>
    <col min="4101" max="4101" width="17.25" style="3" bestFit="1" customWidth="1"/>
    <col min="4102" max="4102" width="15.375" style="3" bestFit="1" customWidth="1"/>
    <col min="4103" max="4103" width="8.875" style="3"/>
    <col min="4104" max="4104" width="9.75" style="3" bestFit="1" customWidth="1"/>
    <col min="4105" max="4107" width="8.875" style="3"/>
    <col min="4108" max="4108" width="19.125" style="3" customWidth="1"/>
    <col min="4109" max="4109" width="13.375" style="3" bestFit="1" customWidth="1"/>
    <col min="4110" max="4352" width="8.875" style="3"/>
    <col min="4353" max="4353" width="5.25" style="3" customWidth="1"/>
    <col min="4354" max="4354" width="11" style="3" customWidth="1"/>
    <col min="4355" max="4355" width="28" style="3" customWidth="1"/>
    <col min="4356" max="4356" width="21.75" style="3" bestFit="1" customWidth="1"/>
    <col min="4357" max="4357" width="17.25" style="3" bestFit="1" customWidth="1"/>
    <col min="4358" max="4358" width="15.375" style="3" bestFit="1" customWidth="1"/>
    <col min="4359" max="4359" width="8.875" style="3"/>
    <col min="4360" max="4360" width="9.75" style="3" bestFit="1" customWidth="1"/>
    <col min="4361" max="4363" width="8.875" style="3"/>
    <col min="4364" max="4364" width="19.125" style="3" customWidth="1"/>
    <col min="4365" max="4365" width="13.375" style="3" bestFit="1" customWidth="1"/>
    <col min="4366" max="4608" width="8.875" style="3"/>
    <col min="4609" max="4609" width="5.25" style="3" customWidth="1"/>
    <col min="4610" max="4610" width="11" style="3" customWidth="1"/>
    <col min="4611" max="4611" width="28" style="3" customWidth="1"/>
    <col min="4612" max="4612" width="21.75" style="3" bestFit="1" customWidth="1"/>
    <col min="4613" max="4613" width="17.25" style="3" bestFit="1" customWidth="1"/>
    <col min="4614" max="4614" width="15.375" style="3" bestFit="1" customWidth="1"/>
    <col min="4615" max="4615" width="8.875" style="3"/>
    <col min="4616" max="4616" width="9.75" style="3" bestFit="1" customWidth="1"/>
    <col min="4617" max="4619" width="8.875" style="3"/>
    <col min="4620" max="4620" width="19.125" style="3" customWidth="1"/>
    <col min="4621" max="4621" width="13.375" style="3" bestFit="1" customWidth="1"/>
    <col min="4622" max="4864" width="8.875" style="3"/>
    <col min="4865" max="4865" width="5.25" style="3" customWidth="1"/>
    <col min="4866" max="4866" width="11" style="3" customWidth="1"/>
    <col min="4867" max="4867" width="28" style="3" customWidth="1"/>
    <col min="4868" max="4868" width="21.75" style="3" bestFit="1" customWidth="1"/>
    <col min="4869" max="4869" width="17.25" style="3" bestFit="1" customWidth="1"/>
    <col min="4870" max="4870" width="15.375" style="3" bestFit="1" customWidth="1"/>
    <col min="4871" max="4871" width="8.875" style="3"/>
    <col min="4872" max="4872" width="9.75" style="3" bestFit="1" customWidth="1"/>
    <col min="4873" max="4875" width="8.875" style="3"/>
    <col min="4876" max="4876" width="19.125" style="3" customWidth="1"/>
    <col min="4877" max="4877" width="13.375" style="3" bestFit="1" customWidth="1"/>
    <col min="4878" max="5120" width="8.875" style="3"/>
    <col min="5121" max="5121" width="5.25" style="3" customWidth="1"/>
    <col min="5122" max="5122" width="11" style="3" customWidth="1"/>
    <col min="5123" max="5123" width="28" style="3" customWidth="1"/>
    <col min="5124" max="5124" width="21.75" style="3" bestFit="1" customWidth="1"/>
    <col min="5125" max="5125" width="17.25" style="3" bestFit="1" customWidth="1"/>
    <col min="5126" max="5126" width="15.375" style="3" bestFit="1" customWidth="1"/>
    <col min="5127" max="5127" width="8.875" style="3"/>
    <col min="5128" max="5128" width="9.75" style="3" bestFit="1" customWidth="1"/>
    <col min="5129" max="5131" width="8.875" style="3"/>
    <col min="5132" max="5132" width="19.125" style="3" customWidth="1"/>
    <col min="5133" max="5133" width="13.375" style="3" bestFit="1" customWidth="1"/>
    <col min="5134" max="5376" width="8.875" style="3"/>
    <col min="5377" max="5377" width="5.25" style="3" customWidth="1"/>
    <col min="5378" max="5378" width="11" style="3" customWidth="1"/>
    <col min="5379" max="5379" width="28" style="3" customWidth="1"/>
    <col min="5380" max="5380" width="21.75" style="3" bestFit="1" customWidth="1"/>
    <col min="5381" max="5381" width="17.25" style="3" bestFit="1" customWidth="1"/>
    <col min="5382" max="5382" width="15.375" style="3" bestFit="1" customWidth="1"/>
    <col min="5383" max="5383" width="8.875" style="3"/>
    <col min="5384" max="5384" width="9.75" style="3" bestFit="1" customWidth="1"/>
    <col min="5385" max="5387" width="8.875" style="3"/>
    <col min="5388" max="5388" width="19.125" style="3" customWidth="1"/>
    <col min="5389" max="5389" width="13.375" style="3" bestFit="1" customWidth="1"/>
    <col min="5390" max="5632" width="8.875" style="3"/>
    <col min="5633" max="5633" width="5.25" style="3" customWidth="1"/>
    <col min="5634" max="5634" width="11" style="3" customWidth="1"/>
    <col min="5635" max="5635" width="28" style="3" customWidth="1"/>
    <col min="5636" max="5636" width="21.75" style="3" bestFit="1" customWidth="1"/>
    <col min="5637" max="5637" width="17.25" style="3" bestFit="1" customWidth="1"/>
    <col min="5638" max="5638" width="15.375" style="3" bestFit="1" customWidth="1"/>
    <col min="5639" max="5639" width="8.875" style="3"/>
    <col min="5640" max="5640" width="9.75" style="3" bestFit="1" customWidth="1"/>
    <col min="5641" max="5643" width="8.875" style="3"/>
    <col min="5644" max="5644" width="19.125" style="3" customWidth="1"/>
    <col min="5645" max="5645" width="13.375" style="3" bestFit="1" customWidth="1"/>
    <col min="5646" max="5888" width="8.875" style="3"/>
    <col min="5889" max="5889" width="5.25" style="3" customWidth="1"/>
    <col min="5890" max="5890" width="11" style="3" customWidth="1"/>
    <col min="5891" max="5891" width="28" style="3" customWidth="1"/>
    <col min="5892" max="5892" width="21.75" style="3" bestFit="1" customWidth="1"/>
    <col min="5893" max="5893" width="17.25" style="3" bestFit="1" customWidth="1"/>
    <col min="5894" max="5894" width="15.375" style="3" bestFit="1" customWidth="1"/>
    <col min="5895" max="5895" width="8.875" style="3"/>
    <col min="5896" max="5896" width="9.75" style="3" bestFit="1" customWidth="1"/>
    <col min="5897" max="5899" width="8.875" style="3"/>
    <col min="5900" max="5900" width="19.125" style="3" customWidth="1"/>
    <col min="5901" max="5901" width="13.375" style="3" bestFit="1" customWidth="1"/>
    <col min="5902" max="6144" width="8.875" style="3"/>
    <col min="6145" max="6145" width="5.25" style="3" customWidth="1"/>
    <col min="6146" max="6146" width="11" style="3" customWidth="1"/>
    <col min="6147" max="6147" width="28" style="3" customWidth="1"/>
    <col min="6148" max="6148" width="21.75" style="3" bestFit="1" customWidth="1"/>
    <col min="6149" max="6149" width="17.25" style="3" bestFit="1" customWidth="1"/>
    <col min="6150" max="6150" width="15.375" style="3" bestFit="1" customWidth="1"/>
    <col min="6151" max="6151" width="8.875" style="3"/>
    <col min="6152" max="6152" width="9.75" style="3" bestFit="1" customWidth="1"/>
    <col min="6153" max="6155" width="8.875" style="3"/>
    <col min="6156" max="6156" width="19.125" style="3" customWidth="1"/>
    <col min="6157" max="6157" width="13.375" style="3" bestFit="1" customWidth="1"/>
    <col min="6158" max="6400" width="8.875" style="3"/>
    <col min="6401" max="6401" width="5.25" style="3" customWidth="1"/>
    <col min="6402" max="6402" width="11" style="3" customWidth="1"/>
    <col min="6403" max="6403" width="28" style="3" customWidth="1"/>
    <col min="6404" max="6404" width="21.75" style="3" bestFit="1" customWidth="1"/>
    <col min="6405" max="6405" width="17.25" style="3" bestFit="1" customWidth="1"/>
    <col min="6406" max="6406" width="15.375" style="3" bestFit="1" customWidth="1"/>
    <col min="6407" max="6407" width="8.875" style="3"/>
    <col min="6408" max="6408" width="9.75" style="3" bestFit="1" customWidth="1"/>
    <col min="6409" max="6411" width="8.875" style="3"/>
    <col min="6412" max="6412" width="19.125" style="3" customWidth="1"/>
    <col min="6413" max="6413" width="13.375" style="3" bestFit="1" customWidth="1"/>
    <col min="6414" max="6656" width="8.875" style="3"/>
    <col min="6657" max="6657" width="5.25" style="3" customWidth="1"/>
    <col min="6658" max="6658" width="11" style="3" customWidth="1"/>
    <col min="6659" max="6659" width="28" style="3" customWidth="1"/>
    <col min="6660" max="6660" width="21.75" style="3" bestFit="1" customWidth="1"/>
    <col min="6661" max="6661" width="17.25" style="3" bestFit="1" customWidth="1"/>
    <col min="6662" max="6662" width="15.375" style="3" bestFit="1" customWidth="1"/>
    <col min="6663" max="6663" width="8.875" style="3"/>
    <col min="6664" max="6664" width="9.75" style="3" bestFit="1" customWidth="1"/>
    <col min="6665" max="6667" width="8.875" style="3"/>
    <col min="6668" max="6668" width="19.125" style="3" customWidth="1"/>
    <col min="6669" max="6669" width="13.375" style="3" bestFit="1" customWidth="1"/>
    <col min="6670" max="6912" width="8.875" style="3"/>
    <col min="6913" max="6913" width="5.25" style="3" customWidth="1"/>
    <col min="6914" max="6914" width="11" style="3" customWidth="1"/>
    <col min="6915" max="6915" width="28" style="3" customWidth="1"/>
    <col min="6916" max="6916" width="21.75" style="3" bestFit="1" customWidth="1"/>
    <col min="6917" max="6917" width="17.25" style="3" bestFit="1" customWidth="1"/>
    <col min="6918" max="6918" width="15.375" style="3" bestFit="1" customWidth="1"/>
    <col min="6919" max="6919" width="8.875" style="3"/>
    <col min="6920" max="6920" width="9.75" style="3" bestFit="1" customWidth="1"/>
    <col min="6921" max="6923" width="8.875" style="3"/>
    <col min="6924" max="6924" width="19.125" style="3" customWidth="1"/>
    <col min="6925" max="6925" width="13.375" style="3" bestFit="1" customWidth="1"/>
    <col min="6926" max="7168" width="8.875" style="3"/>
    <col min="7169" max="7169" width="5.25" style="3" customWidth="1"/>
    <col min="7170" max="7170" width="11" style="3" customWidth="1"/>
    <col min="7171" max="7171" width="28" style="3" customWidth="1"/>
    <col min="7172" max="7172" width="21.75" style="3" bestFit="1" customWidth="1"/>
    <col min="7173" max="7173" width="17.25" style="3" bestFit="1" customWidth="1"/>
    <col min="7174" max="7174" width="15.375" style="3" bestFit="1" customWidth="1"/>
    <col min="7175" max="7175" width="8.875" style="3"/>
    <col min="7176" max="7176" width="9.75" style="3" bestFit="1" customWidth="1"/>
    <col min="7177" max="7179" width="8.875" style="3"/>
    <col min="7180" max="7180" width="19.125" style="3" customWidth="1"/>
    <col min="7181" max="7181" width="13.375" style="3" bestFit="1" customWidth="1"/>
    <col min="7182" max="7424" width="8.875" style="3"/>
    <col min="7425" max="7425" width="5.25" style="3" customWidth="1"/>
    <col min="7426" max="7426" width="11" style="3" customWidth="1"/>
    <col min="7427" max="7427" width="28" style="3" customWidth="1"/>
    <col min="7428" max="7428" width="21.75" style="3" bestFit="1" customWidth="1"/>
    <col min="7429" max="7429" width="17.25" style="3" bestFit="1" customWidth="1"/>
    <col min="7430" max="7430" width="15.375" style="3" bestFit="1" customWidth="1"/>
    <col min="7431" max="7431" width="8.875" style="3"/>
    <col min="7432" max="7432" width="9.75" style="3" bestFit="1" customWidth="1"/>
    <col min="7433" max="7435" width="8.875" style="3"/>
    <col min="7436" max="7436" width="19.125" style="3" customWidth="1"/>
    <col min="7437" max="7437" width="13.375" style="3" bestFit="1" customWidth="1"/>
    <col min="7438" max="7680" width="8.875" style="3"/>
    <col min="7681" max="7681" width="5.25" style="3" customWidth="1"/>
    <col min="7682" max="7682" width="11" style="3" customWidth="1"/>
    <col min="7683" max="7683" width="28" style="3" customWidth="1"/>
    <col min="7684" max="7684" width="21.75" style="3" bestFit="1" customWidth="1"/>
    <col min="7685" max="7685" width="17.25" style="3" bestFit="1" customWidth="1"/>
    <col min="7686" max="7686" width="15.375" style="3" bestFit="1" customWidth="1"/>
    <col min="7687" max="7687" width="8.875" style="3"/>
    <col min="7688" max="7688" width="9.75" style="3" bestFit="1" customWidth="1"/>
    <col min="7689" max="7691" width="8.875" style="3"/>
    <col min="7692" max="7692" width="19.125" style="3" customWidth="1"/>
    <col min="7693" max="7693" width="13.375" style="3" bestFit="1" customWidth="1"/>
    <col min="7694" max="7936" width="8.875" style="3"/>
    <col min="7937" max="7937" width="5.25" style="3" customWidth="1"/>
    <col min="7938" max="7938" width="11" style="3" customWidth="1"/>
    <col min="7939" max="7939" width="28" style="3" customWidth="1"/>
    <col min="7940" max="7940" width="21.75" style="3" bestFit="1" customWidth="1"/>
    <col min="7941" max="7941" width="17.25" style="3" bestFit="1" customWidth="1"/>
    <col min="7942" max="7942" width="15.375" style="3" bestFit="1" customWidth="1"/>
    <col min="7943" max="7943" width="8.875" style="3"/>
    <col min="7944" max="7944" width="9.75" style="3" bestFit="1" customWidth="1"/>
    <col min="7945" max="7947" width="8.875" style="3"/>
    <col min="7948" max="7948" width="19.125" style="3" customWidth="1"/>
    <col min="7949" max="7949" width="13.375" style="3" bestFit="1" customWidth="1"/>
    <col min="7950" max="8192" width="8.875" style="3"/>
    <col min="8193" max="8193" width="5.25" style="3" customWidth="1"/>
    <col min="8194" max="8194" width="11" style="3" customWidth="1"/>
    <col min="8195" max="8195" width="28" style="3" customWidth="1"/>
    <col min="8196" max="8196" width="21.75" style="3" bestFit="1" customWidth="1"/>
    <col min="8197" max="8197" width="17.25" style="3" bestFit="1" customWidth="1"/>
    <col min="8198" max="8198" width="15.375" style="3" bestFit="1" customWidth="1"/>
    <col min="8199" max="8199" width="8.875" style="3"/>
    <col min="8200" max="8200" width="9.75" style="3" bestFit="1" customWidth="1"/>
    <col min="8201" max="8203" width="8.875" style="3"/>
    <col min="8204" max="8204" width="19.125" style="3" customWidth="1"/>
    <col min="8205" max="8205" width="13.375" style="3" bestFit="1" customWidth="1"/>
    <col min="8206" max="8448" width="8.875" style="3"/>
    <col min="8449" max="8449" width="5.25" style="3" customWidth="1"/>
    <col min="8450" max="8450" width="11" style="3" customWidth="1"/>
    <col min="8451" max="8451" width="28" style="3" customWidth="1"/>
    <col min="8452" max="8452" width="21.75" style="3" bestFit="1" customWidth="1"/>
    <col min="8453" max="8453" width="17.25" style="3" bestFit="1" customWidth="1"/>
    <col min="8454" max="8454" width="15.375" style="3" bestFit="1" customWidth="1"/>
    <col min="8455" max="8455" width="8.875" style="3"/>
    <col min="8456" max="8456" width="9.75" style="3" bestFit="1" customWidth="1"/>
    <col min="8457" max="8459" width="8.875" style="3"/>
    <col min="8460" max="8460" width="19.125" style="3" customWidth="1"/>
    <col min="8461" max="8461" width="13.375" style="3" bestFit="1" customWidth="1"/>
    <col min="8462" max="8704" width="8.875" style="3"/>
    <col min="8705" max="8705" width="5.25" style="3" customWidth="1"/>
    <col min="8706" max="8706" width="11" style="3" customWidth="1"/>
    <col min="8707" max="8707" width="28" style="3" customWidth="1"/>
    <col min="8708" max="8708" width="21.75" style="3" bestFit="1" customWidth="1"/>
    <col min="8709" max="8709" width="17.25" style="3" bestFit="1" customWidth="1"/>
    <col min="8710" max="8710" width="15.375" style="3" bestFit="1" customWidth="1"/>
    <col min="8711" max="8711" width="8.875" style="3"/>
    <col min="8712" max="8712" width="9.75" style="3" bestFit="1" customWidth="1"/>
    <col min="8713" max="8715" width="8.875" style="3"/>
    <col min="8716" max="8716" width="19.125" style="3" customWidth="1"/>
    <col min="8717" max="8717" width="13.375" style="3" bestFit="1" customWidth="1"/>
    <col min="8718" max="8960" width="8.875" style="3"/>
    <col min="8961" max="8961" width="5.25" style="3" customWidth="1"/>
    <col min="8962" max="8962" width="11" style="3" customWidth="1"/>
    <col min="8963" max="8963" width="28" style="3" customWidth="1"/>
    <col min="8964" max="8964" width="21.75" style="3" bestFit="1" customWidth="1"/>
    <col min="8965" max="8965" width="17.25" style="3" bestFit="1" customWidth="1"/>
    <col min="8966" max="8966" width="15.375" style="3" bestFit="1" customWidth="1"/>
    <col min="8967" max="8967" width="8.875" style="3"/>
    <col min="8968" max="8968" width="9.75" style="3" bestFit="1" customWidth="1"/>
    <col min="8969" max="8971" width="8.875" style="3"/>
    <col min="8972" max="8972" width="19.125" style="3" customWidth="1"/>
    <col min="8973" max="8973" width="13.375" style="3" bestFit="1" customWidth="1"/>
    <col min="8974" max="9216" width="8.875" style="3"/>
    <col min="9217" max="9217" width="5.25" style="3" customWidth="1"/>
    <col min="9218" max="9218" width="11" style="3" customWidth="1"/>
    <col min="9219" max="9219" width="28" style="3" customWidth="1"/>
    <col min="9220" max="9220" width="21.75" style="3" bestFit="1" customWidth="1"/>
    <col min="9221" max="9221" width="17.25" style="3" bestFit="1" customWidth="1"/>
    <col min="9222" max="9222" width="15.375" style="3" bestFit="1" customWidth="1"/>
    <col min="9223" max="9223" width="8.875" style="3"/>
    <col min="9224" max="9224" width="9.75" style="3" bestFit="1" customWidth="1"/>
    <col min="9225" max="9227" width="8.875" style="3"/>
    <col min="9228" max="9228" width="19.125" style="3" customWidth="1"/>
    <col min="9229" max="9229" width="13.375" style="3" bestFit="1" customWidth="1"/>
    <col min="9230" max="9472" width="8.875" style="3"/>
    <col min="9473" max="9473" width="5.25" style="3" customWidth="1"/>
    <col min="9474" max="9474" width="11" style="3" customWidth="1"/>
    <col min="9475" max="9475" width="28" style="3" customWidth="1"/>
    <col min="9476" max="9476" width="21.75" style="3" bestFit="1" customWidth="1"/>
    <col min="9477" max="9477" width="17.25" style="3" bestFit="1" customWidth="1"/>
    <col min="9478" max="9478" width="15.375" style="3" bestFit="1" customWidth="1"/>
    <col min="9479" max="9479" width="8.875" style="3"/>
    <col min="9480" max="9480" width="9.75" style="3" bestFit="1" customWidth="1"/>
    <col min="9481" max="9483" width="8.875" style="3"/>
    <col min="9484" max="9484" width="19.125" style="3" customWidth="1"/>
    <col min="9485" max="9485" width="13.375" style="3" bestFit="1" customWidth="1"/>
    <col min="9486" max="9728" width="8.875" style="3"/>
    <col min="9729" max="9729" width="5.25" style="3" customWidth="1"/>
    <col min="9730" max="9730" width="11" style="3" customWidth="1"/>
    <col min="9731" max="9731" width="28" style="3" customWidth="1"/>
    <col min="9732" max="9732" width="21.75" style="3" bestFit="1" customWidth="1"/>
    <col min="9733" max="9733" width="17.25" style="3" bestFit="1" customWidth="1"/>
    <col min="9734" max="9734" width="15.375" style="3" bestFit="1" customWidth="1"/>
    <col min="9735" max="9735" width="8.875" style="3"/>
    <col min="9736" max="9736" width="9.75" style="3" bestFit="1" customWidth="1"/>
    <col min="9737" max="9739" width="8.875" style="3"/>
    <col min="9740" max="9740" width="19.125" style="3" customWidth="1"/>
    <col min="9741" max="9741" width="13.375" style="3" bestFit="1" customWidth="1"/>
    <col min="9742" max="9984" width="8.875" style="3"/>
    <col min="9985" max="9985" width="5.25" style="3" customWidth="1"/>
    <col min="9986" max="9986" width="11" style="3" customWidth="1"/>
    <col min="9987" max="9987" width="28" style="3" customWidth="1"/>
    <col min="9988" max="9988" width="21.75" style="3" bestFit="1" customWidth="1"/>
    <col min="9989" max="9989" width="17.25" style="3" bestFit="1" customWidth="1"/>
    <col min="9990" max="9990" width="15.375" style="3" bestFit="1" customWidth="1"/>
    <col min="9991" max="9991" width="8.875" style="3"/>
    <col min="9992" max="9992" width="9.75" style="3" bestFit="1" customWidth="1"/>
    <col min="9993" max="9995" width="8.875" style="3"/>
    <col min="9996" max="9996" width="19.125" style="3" customWidth="1"/>
    <col min="9997" max="9997" width="13.375" style="3" bestFit="1" customWidth="1"/>
    <col min="9998" max="10240" width="8.875" style="3"/>
    <col min="10241" max="10241" width="5.25" style="3" customWidth="1"/>
    <col min="10242" max="10242" width="11" style="3" customWidth="1"/>
    <col min="10243" max="10243" width="28" style="3" customWidth="1"/>
    <col min="10244" max="10244" width="21.75" style="3" bestFit="1" customWidth="1"/>
    <col min="10245" max="10245" width="17.25" style="3" bestFit="1" customWidth="1"/>
    <col min="10246" max="10246" width="15.375" style="3" bestFit="1" customWidth="1"/>
    <col min="10247" max="10247" width="8.875" style="3"/>
    <col min="10248" max="10248" width="9.75" style="3" bestFit="1" customWidth="1"/>
    <col min="10249" max="10251" width="8.875" style="3"/>
    <col min="10252" max="10252" width="19.125" style="3" customWidth="1"/>
    <col min="10253" max="10253" width="13.375" style="3" bestFit="1" customWidth="1"/>
    <col min="10254" max="10496" width="8.875" style="3"/>
    <col min="10497" max="10497" width="5.25" style="3" customWidth="1"/>
    <col min="10498" max="10498" width="11" style="3" customWidth="1"/>
    <col min="10499" max="10499" width="28" style="3" customWidth="1"/>
    <col min="10500" max="10500" width="21.75" style="3" bestFit="1" customWidth="1"/>
    <col min="10501" max="10501" width="17.25" style="3" bestFit="1" customWidth="1"/>
    <col min="10502" max="10502" width="15.375" style="3" bestFit="1" customWidth="1"/>
    <col min="10503" max="10503" width="8.875" style="3"/>
    <col min="10504" max="10504" width="9.75" style="3" bestFit="1" customWidth="1"/>
    <col min="10505" max="10507" width="8.875" style="3"/>
    <col min="10508" max="10508" width="19.125" style="3" customWidth="1"/>
    <col min="10509" max="10509" width="13.375" style="3" bestFit="1" customWidth="1"/>
    <col min="10510" max="10752" width="8.875" style="3"/>
    <col min="10753" max="10753" width="5.25" style="3" customWidth="1"/>
    <col min="10754" max="10754" width="11" style="3" customWidth="1"/>
    <col min="10755" max="10755" width="28" style="3" customWidth="1"/>
    <col min="10756" max="10756" width="21.75" style="3" bestFit="1" customWidth="1"/>
    <col min="10757" max="10757" width="17.25" style="3" bestFit="1" customWidth="1"/>
    <col min="10758" max="10758" width="15.375" style="3" bestFit="1" customWidth="1"/>
    <col min="10759" max="10759" width="8.875" style="3"/>
    <col min="10760" max="10760" width="9.75" style="3" bestFit="1" customWidth="1"/>
    <col min="10761" max="10763" width="8.875" style="3"/>
    <col min="10764" max="10764" width="19.125" style="3" customWidth="1"/>
    <col min="10765" max="10765" width="13.375" style="3" bestFit="1" customWidth="1"/>
    <col min="10766" max="11008" width="8.875" style="3"/>
    <col min="11009" max="11009" width="5.25" style="3" customWidth="1"/>
    <col min="11010" max="11010" width="11" style="3" customWidth="1"/>
    <col min="11011" max="11011" width="28" style="3" customWidth="1"/>
    <col min="11012" max="11012" width="21.75" style="3" bestFit="1" customWidth="1"/>
    <col min="11013" max="11013" width="17.25" style="3" bestFit="1" customWidth="1"/>
    <col min="11014" max="11014" width="15.375" style="3" bestFit="1" customWidth="1"/>
    <col min="11015" max="11015" width="8.875" style="3"/>
    <col min="11016" max="11016" width="9.75" style="3" bestFit="1" customWidth="1"/>
    <col min="11017" max="11019" width="8.875" style="3"/>
    <col min="11020" max="11020" width="19.125" style="3" customWidth="1"/>
    <col min="11021" max="11021" width="13.375" style="3" bestFit="1" customWidth="1"/>
    <col min="11022" max="11264" width="8.875" style="3"/>
    <col min="11265" max="11265" width="5.25" style="3" customWidth="1"/>
    <col min="11266" max="11266" width="11" style="3" customWidth="1"/>
    <col min="11267" max="11267" width="28" style="3" customWidth="1"/>
    <col min="11268" max="11268" width="21.75" style="3" bestFit="1" customWidth="1"/>
    <col min="11269" max="11269" width="17.25" style="3" bestFit="1" customWidth="1"/>
    <col min="11270" max="11270" width="15.375" style="3" bestFit="1" customWidth="1"/>
    <col min="11271" max="11271" width="8.875" style="3"/>
    <col min="11272" max="11272" width="9.75" style="3" bestFit="1" customWidth="1"/>
    <col min="11273" max="11275" width="8.875" style="3"/>
    <col min="11276" max="11276" width="19.125" style="3" customWidth="1"/>
    <col min="11277" max="11277" width="13.375" style="3" bestFit="1" customWidth="1"/>
    <col min="11278" max="11520" width="8.875" style="3"/>
    <col min="11521" max="11521" width="5.25" style="3" customWidth="1"/>
    <col min="11522" max="11522" width="11" style="3" customWidth="1"/>
    <col min="11523" max="11523" width="28" style="3" customWidth="1"/>
    <col min="11524" max="11524" width="21.75" style="3" bestFit="1" customWidth="1"/>
    <col min="11525" max="11525" width="17.25" style="3" bestFit="1" customWidth="1"/>
    <col min="11526" max="11526" width="15.375" style="3" bestFit="1" customWidth="1"/>
    <col min="11527" max="11527" width="8.875" style="3"/>
    <col min="11528" max="11528" width="9.75" style="3" bestFit="1" customWidth="1"/>
    <col min="11529" max="11531" width="8.875" style="3"/>
    <col min="11532" max="11532" width="19.125" style="3" customWidth="1"/>
    <col min="11533" max="11533" width="13.375" style="3" bestFit="1" customWidth="1"/>
    <col min="11534" max="11776" width="8.875" style="3"/>
    <col min="11777" max="11777" width="5.25" style="3" customWidth="1"/>
    <col min="11778" max="11778" width="11" style="3" customWidth="1"/>
    <col min="11779" max="11779" width="28" style="3" customWidth="1"/>
    <col min="11780" max="11780" width="21.75" style="3" bestFit="1" customWidth="1"/>
    <col min="11781" max="11781" width="17.25" style="3" bestFit="1" customWidth="1"/>
    <col min="11782" max="11782" width="15.375" style="3" bestFit="1" customWidth="1"/>
    <col min="11783" max="11783" width="8.875" style="3"/>
    <col min="11784" max="11784" width="9.75" style="3" bestFit="1" customWidth="1"/>
    <col min="11785" max="11787" width="8.875" style="3"/>
    <col min="11788" max="11788" width="19.125" style="3" customWidth="1"/>
    <col min="11789" max="11789" width="13.375" style="3" bestFit="1" customWidth="1"/>
    <col min="11790" max="12032" width="8.875" style="3"/>
    <col min="12033" max="12033" width="5.25" style="3" customWidth="1"/>
    <col min="12034" max="12034" width="11" style="3" customWidth="1"/>
    <col min="12035" max="12035" width="28" style="3" customWidth="1"/>
    <col min="12036" max="12036" width="21.75" style="3" bestFit="1" customWidth="1"/>
    <col min="12037" max="12037" width="17.25" style="3" bestFit="1" customWidth="1"/>
    <col min="12038" max="12038" width="15.375" style="3" bestFit="1" customWidth="1"/>
    <col min="12039" max="12039" width="8.875" style="3"/>
    <col min="12040" max="12040" width="9.75" style="3" bestFit="1" customWidth="1"/>
    <col min="12041" max="12043" width="8.875" style="3"/>
    <col min="12044" max="12044" width="19.125" style="3" customWidth="1"/>
    <col min="12045" max="12045" width="13.375" style="3" bestFit="1" customWidth="1"/>
    <col min="12046" max="12288" width="8.875" style="3"/>
    <col min="12289" max="12289" width="5.25" style="3" customWidth="1"/>
    <col min="12290" max="12290" width="11" style="3" customWidth="1"/>
    <col min="12291" max="12291" width="28" style="3" customWidth="1"/>
    <col min="12292" max="12292" width="21.75" style="3" bestFit="1" customWidth="1"/>
    <col min="12293" max="12293" width="17.25" style="3" bestFit="1" customWidth="1"/>
    <col min="12294" max="12294" width="15.375" style="3" bestFit="1" customWidth="1"/>
    <col min="12295" max="12295" width="8.875" style="3"/>
    <col min="12296" max="12296" width="9.75" style="3" bestFit="1" customWidth="1"/>
    <col min="12297" max="12299" width="8.875" style="3"/>
    <col min="12300" max="12300" width="19.125" style="3" customWidth="1"/>
    <col min="12301" max="12301" width="13.375" style="3" bestFit="1" customWidth="1"/>
    <col min="12302" max="12544" width="8.875" style="3"/>
    <col min="12545" max="12545" width="5.25" style="3" customWidth="1"/>
    <col min="12546" max="12546" width="11" style="3" customWidth="1"/>
    <col min="12547" max="12547" width="28" style="3" customWidth="1"/>
    <col min="12548" max="12548" width="21.75" style="3" bestFit="1" customWidth="1"/>
    <col min="12549" max="12549" width="17.25" style="3" bestFit="1" customWidth="1"/>
    <col min="12550" max="12550" width="15.375" style="3" bestFit="1" customWidth="1"/>
    <col min="12551" max="12551" width="8.875" style="3"/>
    <col min="12552" max="12552" width="9.75" style="3" bestFit="1" customWidth="1"/>
    <col min="12553" max="12555" width="8.875" style="3"/>
    <col min="12556" max="12556" width="19.125" style="3" customWidth="1"/>
    <col min="12557" max="12557" width="13.375" style="3" bestFit="1" customWidth="1"/>
    <col min="12558" max="12800" width="8.875" style="3"/>
    <col min="12801" max="12801" width="5.25" style="3" customWidth="1"/>
    <col min="12802" max="12802" width="11" style="3" customWidth="1"/>
    <col min="12803" max="12803" width="28" style="3" customWidth="1"/>
    <col min="12804" max="12804" width="21.75" style="3" bestFit="1" customWidth="1"/>
    <col min="12805" max="12805" width="17.25" style="3" bestFit="1" customWidth="1"/>
    <col min="12806" max="12806" width="15.375" style="3" bestFit="1" customWidth="1"/>
    <col min="12807" max="12807" width="8.875" style="3"/>
    <col min="12808" max="12808" width="9.75" style="3" bestFit="1" customWidth="1"/>
    <col min="12809" max="12811" width="8.875" style="3"/>
    <col min="12812" max="12812" width="19.125" style="3" customWidth="1"/>
    <col min="12813" max="12813" width="13.375" style="3" bestFit="1" customWidth="1"/>
    <col min="12814" max="13056" width="8.875" style="3"/>
    <col min="13057" max="13057" width="5.25" style="3" customWidth="1"/>
    <col min="13058" max="13058" width="11" style="3" customWidth="1"/>
    <col min="13059" max="13059" width="28" style="3" customWidth="1"/>
    <col min="13060" max="13060" width="21.75" style="3" bestFit="1" customWidth="1"/>
    <col min="13061" max="13061" width="17.25" style="3" bestFit="1" customWidth="1"/>
    <col min="13062" max="13062" width="15.375" style="3" bestFit="1" customWidth="1"/>
    <col min="13063" max="13063" width="8.875" style="3"/>
    <col min="13064" max="13064" width="9.75" style="3" bestFit="1" customWidth="1"/>
    <col min="13065" max="13067" width="8.875" style="3"/>
    <col min="13068" max="13068" width="19.125" style="3" customWidth="1"/>
    <col min="13069" max="13069" width="13.375" style="3" bestFit="1" customWidth="1"/>
    <col min="13070" max="13312" width="8.875" style="3"/>
    <col min="13313" max="13313" width="5.25" style="3" customWidth="1"/>
    <col min="13314" max="13314" width="11" style="3" customWidth="1"/>
    <col min="13315" max="13315" width="28" style="3" customWidth="1"/>
    <col min="13316" max="13316" width="21.75" style="3" bestFit="1" customWidth="1"/>
    <col min="13317" max="13317" width="17.25" style="3" bestFit="1" customWidth="1"/>
    <col min="13318" max="13318" width="15.375" style="3" bestFit="1" customWidth="1"/>
    <col min="13319" max="13319" width="8.875" style="3"/>
    <col min="13320" max="13320" width="9.75" style="3" bestFit="1" customWidth="1"/>
    <col min="13321" max="13323" width="8.875" style="3"/>
    <col min="13324" max="13324" width="19.125" style="3" customWidth="1"/>
    <col min="13325" max="13325" width="13.375" style="3" bestFit="1" customWidth="1"/>
    <col min="13326" max="13568" width="8.875" style="3"/>
    <col min="13569" max="13569" width="5.25" style="3" customWidth="1"/>
    <col min="13570" max="13570" width="11" style="3" customWidth="1"/>
    <col min="13571" max="13571" width="28" style="3" customWidth="1"/>
    <col min="13572" max="13572" width="21.75" style="3" bestFit="1" customWidth="1"/>
    <col min="13573" max="13573" width="17.25" style="3" bestFit="1" customWidth="1"/>
    <col min="13574" max="13574" width="15.375" style="3" bestFit="1" customWidth="1"/>
    <col min="13575" max="13575" width="8.875" style="3"/>
    <col min="13576" max="13576" width="9.75" style="3" bestFit="1" customWidth="1"/>
    <col min="13577" max="13579" width="8.875" style="3"/>
    <col min="13580" max="13580" width="19.125" style="3" customWidth="1"/>
    <col min="13581" max="13581" width="13.375" style="3" bestFit="1" customWidth="1"/>
    <col min="13582" max="13824" width="8.875" style="3"/>
    <col min="13825" max="13825" width="5.25" style="3" customWidth="1"/>
    <col min="13826" max="13826" width="11" style="3" customWidth="1"/>
    <col min="13827" max="13827" width="28" style="3" customWidth="1"/>
    <col min="13828" max="13828" width="21.75" style="3" bestFit="1" customWidth="1"/>
    <col min="13829" max="13829" width="17.25" style="3" bestFit="1" customWidth="1"/>
    <col min="13830" max="13830" width="15.375" style="3" bestFit="1" customWidth="1"/>
    <col min="13831" max="13831" width="8.875" style="3"/>
    <col min="13832" max="13832" width="9.75" style="3" bestFit="1" customWidth="1"/>
    <col min="13833" max="13835" width="8.875" style="3"/>
    <col min="13836" max="13836" width="19.125" style="3" customWidth="1"/>
    <col min="13837" max="13837" width="13.375" style="3" bestFit="1" customWidth="1"/>
    <col min="13838" max="14080" width="8.875" style="3"/>
    <col min="14081" max="14081" width="5.25" style="3" customWidth="1"/>
    <col min="14082" max="14082" width="11" style="3" customWidth="1"/>
    <col min="14083" max="14083" width="28" style="3" customWidth="1"/>
    <col min="14084" max="14084" width="21.75" style="3" bestFit="1" customWidth="1"/>
    <col min="14085" max="14085" width="17.25" style="3" bestFit="1" customWidth="1"/>
    <col min="14086" max="14086" width="15.375" style="3" bestFit="1" customWidth="1"/>
    <col min="14087" max="14087" width="8.875" style="3"/>
    <col min="14088" max="14088" width="9.75" style="3" bestFit="1" customWidth="1"/>
    <col min="14089" max="14091" width="8.875" style="3"/>
    <col min="14092" max="14092" width="19.125" style="3" customWidth="1"/>
    <col min="14093" max="14093" width="13.375" style="3" bestFit="1" customWidth="1"/>
    <col min="14094" max="14336" width="8.875" style="3"/>
    <col min="14337" max="14337" width="5.25" style="3" customWidth="1"/>
    <col min="14338" max="14338" width="11" style="3" customWidth="1"/>
    <col min="14339" max="14339" width="28" style="3" customWidth="1"/>
    <col min="14340" max="14340" width="21.75" style="3" bestFit="1" customWidth="1"/>
    <col min="14341" max="14341" width="17.25" style="3" bestFit="1" customWidth="1"/>
    <col min="14342" max="14342" width="15.375" style="3" bestFit="1" customWidth="1"/>
    <col min="14343" max="14343" width="8.875" style="3"/>
    <col min="14344" max="14344" width="9.75" style="3" bestFit="1" customWidth="1"/>
    <col min="14345" max="14347" width="8.875" style="3"/>
    <col min="14348" max="14348" width="19.125" style="3" customWidth="1"/>
    <col min="14349" max="14349" width="13.375" style="3" bestFit="1" customWidth="1"/>
    <col min="14350" max="14592" width="8.875" style="3"/>
    <col min="14593" max="14593" width="5.25" style="3" customWidth="1"/>
    <col min="14594" max="14594" width="11" style="3" customWidth="1"/>
    <col min="14595" max="14595" width="28" style="3" customWidth="1"/>
    <col min="14596" max="14596" width="21.75" style="3" bestFit="1" customWidth="1"/>
    <col min="14597" max="14597" width="17.25" style="3" bestFit="1" customWidth="1"/>
    <col min="14598" max="14598" width="15.375" style="3" bestFit="1" customWidth="1"/>
    <col min="14599" max="14599" width="8.875" style="3"/>
    <col min="14600" max="14600" width="9.75" style="3" bestFit="1" customWidth="1"/>
    <col min="14601" max="14603" width="8.875" style="3"/>
    <col min="14604" max="14604" width="19.125" style="3" customWidth="1"/>
    <col min="14605" max="14605" width="13.375" style="3" bestFit="1" customWidth="1"/>
    <col min="14606" max="14848" width="8.875" style="3"/>
    <col min="14849" max="14849" width="5.25" style="3" customWidth="1"/>
    <col min="14850" max="14850" width="11" style="3" customWidth="1"/>
    <col min="14851" max="14851" width="28" style="3" customWidth="1"/>
    <col min="14852" max="14852" width="21.75" style="3" bestFit="1" customWidth="1"/>
    <col min="14853" max="14853" width="17.25" style="3" bestFit="1" customWidth="1"/>
    <col min="14854" max="14854" width="15.375" style="3" bestFit="1" customWidth="1"/>
    <col min="14855" max="14855" width="8.875" style="3"/>
    <col min="14856" max="14856" width="9.75" style="3" bestFit="1" customWidth="1"/>
    <col min="14857" max="14859" width="8.875" style="3"/>
    <col min="14860" max="14860" width="19.125" style="3" customWidth="1"/>
    <col min="14861" max="14861" width="13.375" style="3" bestFit="1" customWidth="1"/>
    <col min="14862" max="15104" width="8.875" style="3"/>
    <col min="15105" max="15105" width="5.25" style="3" customWidth="1"/>
    <col min="15106" max="15106" width="11" style="3" customWidth="1"/>
    <col min="15107" max="15107" width="28" style="3" customWidth="1"/>
    <col min="15108" max="15108" width="21.75" style="3" bestFit="1" customWidth="1"/>
    <col min="15109" max="15109" width="17.25" style="3" bestFit="1" customWidth="1"/>
    <col min="15110" max="15110" width="15.375" style="3" bestFit="1" customWidth="1"/>
    <col min="15111" max="15111" width="8.875" style="3"/>
    <col min="15112" max="15112" width="9.75" style="3" bestFit="1" customWidth="1"/>
    <col min="15113" max="15115" width="8.875" style="3"/>
    <col min="15116" max="15116" width="19.125" style="3" customWidth="1"/>
    <col min="15117" max="15117" width="13.375" style="3" bestFit="1" customWidth="1"/>
    <col min="15118" max="15360" width="8.875" style="3"/>
    <col min="15361" max="15361" width="5.25" style="3" customWidth="1"/>
    <col min="15362" max="15362" width="11" style="3" customWidth="1"/>
    <col min="15363" max="15363" width="28" style="3" customWidth="1"/>
    <col min="15364" max="15364" width="21.75" style="3" bestFit="1" customWidth="1"/>
    <col min="15365" max="15365" width="17.25" style="3" bestFit="1" customWidth="1"/>
    <col min="15366" max="15366" width="15.375" style="3" bestFit="1" customWidth="1"/>
    <col min="15367" max="15367" width="8.875" style="3"/>
    <col min="15368" max="15368" width="9.75" style="3" bestFit="1" customWidth="1"/>
    <col min="15369" max="15371" width="8.875" style="3"/>
    <col min="15372" max="15372" width="19.125" style="3" customWidth="1"/>
    <col min="15373" max="15373" width="13.375" style="3" bestFit="1" customWidth="1"/>
    <col min="15374" max="15616" width="8.875" style="3"/>
    <col min="15617" max="15617" width="5.25" style="3" customWidth="1"/>
    <col min="15618" max="15618" width="11" style="3" customWidth="1"/>
    <col min="15619" max="15619" width="28" style="3" customWidth="1"/>
    <col min="15620" max="15620" width="21.75" style="3" bestFit="1" customWidth="1"/>
    <col min="15621" max="15621" width="17.25" style="3" bestFit="1" customWidth="1"/>
    <col min="15622" max="15622" width="15.375" style="3" bestFit="1" customWidth="1"/>
    <col min="15623" max="15623" width="8.875" style="3"/>
    <col min="15624" max="15624" width="9.75" style="3" bestFit="1" customWidth="1"/>
    <col min="15625" max="15627" width="8.875" style="3"/>
    <col min="15628" max="15628" width="19.125" style="3" customWidth="1"/>
    <col min="15629" max="15629" width="13.375" style="3" bestFit="1" customWidth="1"/>
    <col min="15630" max="15872" width="8.875" style="3"/>
    <col min="15873" max="15873" width="5.25" style="3" customWidth="1"/>
    <col min="15874" max="15874" width="11" style="3" customWidth="1"/>
    <col min="15875" max="15875" width="28" style="3" customWidth="1"/>
    <col min="15876" max="15876" width="21.75" style="3" bestFit="1" customWidth="1"/>
    <col min="15877" max="15877" width="17.25" style="3" bestFit="1" customWidth="1"/>
    <col min="15878" max="15878" width="15.375" style="3" bestFit="1" customWidth="1"/>
    <col min="15879" max="15879" width="8.875" style="3"/>
    <col min="15880" max="15880" width="9.75" style="3" bestFit="1" customWidth="1"/>
    <col min="15881" max="15883" width="8.875" style="3"/>
    <col min="15884" max="15884" width="19.125" style="3" customWidth="1"/>
    <col min="15885" max="15885" width="13.375" style="3" bestFit="1" customWidth="1"/>
    <col min="15886" max="16128" width="8.875" style="3"/>
    <col min="16129" max="16129" width="5.25" style="3" customWidth="1"/>
    <col min="16130" max="16130" width="11" style="3" customWidth="1"/>
    <col min="16131" max="16131" width="28" style="3" customWidth="1"/>
    <col min="16132" max="16132" width="21.75" style="3" bestFit="1" customWidth="1"/>
    <col min="16133" max="16133" width="17.25" style="3" bestFit="1" customWidth="1"/>
    <col min="16134" max="16134" width="15.375" style="3" bestFit="1" customWidth="1"/>
    <col min="16135" max="16135" width="8.875" style="3"/>
    <col min="16136" max="16136" width="9.75" style="3" bestFit="1" customWidth="1"/>
    <col min="16137" max="16139" width="8.875" style="3"/>
    <col min="16140" max="16140" width="19.125" style="3" customWidth="1"/>
    <col min="16141" max="16141" width="13.375" style="3" bestFit="1" customWidth="1"/>
    <col min="16142" max="16384" width="8.875" style="3"/>
  </cols>
  <sheetData>
    <row r="1" spans="1:14" x14ac:dyDescent="0.35">
      <c r="A1" s="1"/>
      <c r="B1" s="2"/>
      <c r="C1" s="2"/>
      <c r="D1" s="2"/>
      <c r="E1" s="2"/>
      <c r="F1" s="2"/>
      <c r="G1" s="2"/>
      <c r="H1" s="2"/>
      <c r="I1" s="2"/>
      <c r="J1" s="2"/>
      <c r="K1" s="2"/>
      <c r="L1" s="2"/>
      <c r="M1" s="2"/>
      <c r="N1" s="2"/>
    </row>
    <row r="2" spans="1:14" x14ac:dyDescent="0.35">
      <c r="B2" s="2"/>
      <c r="C2" s="2"/>
      <c r="D2" s="2"/>
      <c r="E2" s="2"/>
      <c r="F2" s="2"/>
      <c r="G2" s="2"/>
      <c r="H2" s="2"/>
      <c r="I2" s="2"/>
      <c r="J2" s="2"/>
      <c r="K2" s="2"/>
      <c r="L2" s="2"/>
      <c r="M2" s="2"/>
      <c r="N2" s="2"/>
    </row>
    <row r="3" spans="1:14" ht="36.75" customHeight="1" x14ac:dyDescent="0.35">
      <c r="B3" s="4" t="s">
        <v>0</v>
      </c>
      <c r="C3" s="4"/>
      <c r="D3" s="4"/>
      <c r="E3" s="4"/>
      <c r="F3" s="4"/>
    </row>
    <row r="4" spans="1:14" x14ac:dyDescent="0.35">
      <c r="B4" s="5"/>
      <c r="G4" s="6"/>
      <c r="H4" s="7"/>
      <c r="I4" s="7"/>
      <c r="J4" s="7"/>
      <c r="K4" s="7"/>
      <c r="L4" s="7"/>
      <c r="M4" s="8"/>
    </row>
    <row r="5" spans="1:14" ht="18" thickBot="1" x14ac:dyDescent="0.4">
      <c r="B5" s="5"/>
      <c r="C5" s="9" t="s">
        <v>1</v>
      </c>
      <c r="D5" s="9" t="s">
        <v>2</v>
      </c>
      <c r="E5" s="9" t="s">
        <v>3</v>
      </c>
      <c r="F5" s="9" t="s">
        <v>4</v>
      </c>
      <c r="G5" s="6"/>
      <c r="I5" s="7"/>
      <c r="J5" s="7"/>
      <c r="K5" s="7"/>
      <c r="L5" s="7"/>
      <c r="M5" s="8"/>
    </row>
    <row r="6" spans="1:14" ht="18" thickTop="1" x14ac:dyDescent="0.35">
      <c r="B6" s="5"/>
      <c r="C6" s="10"/>
      <c r="D6" s="11"/>
      <c r="E6" s="12"/>
      <c r="F6" s="13"/>
      <c r="G6" s="6"/>
      <c r="H6" s="7"/>
      <c r="I6" s="7"/>
      <c r="J6" s="7"/>
      <c r="K6" s="7"/>
      <c r="L6" s="7"/>
      <c r="M6" s="8"/>
    </row>
    <row r="8" spans="1:14" x14ac:dyDescent="0.35">
      <c r="B8" s="14" t="s">
        <v>5</v>
      </c>
      <c r="C8" s="14"/>
      <c r="D8" s="14"/>
      <c r="E8" s="14"/>
      <c r="I8"/>
    </row>
    <row r="29" spans="1:16" x14ac:dyDescent="0.35">
      <c r="L29" s="15"/>
      <c r="M29" s="15"/>
      <c r="N29" s="15"/>
      <c r="O29" s="15"/>
      <c r="P29" s="15"/>
    </row>
    <row r="30" spans="1:16" x14ac:dyDescent="0.35">
      <c r="L30" s="15"/>
      <c r="M30" s="15"/>
      <c r="N30" s="15"/>
      <c r="O30" s="15"/>
      <c r="P30" s="15"/>
    </row>
    <row r="31" spans="1:16" x14ac:dyDescent="0.35">
      <c r="L31" s="15"/>
      <c r="M31" s="15"/>
      <c r="N31" s="15"/>
      <c r="O31" s="15"/>
      <c r="P31" s="15"/>
    </row>
    <row r="32" spans="1:16" x14ac:dyDescent="0.35">
      <c r="A32" s="16"/>
      <c r="B32" s="17"/>
      <c r="C32" s="18">
        <f>IF(ISBLANK(E6),-10000,MONTH(DATEVALUE(E6&amp;" 1")))</f>
        <v>-10000</v>
      </c>
      <c r="D32" s="17"/>
      <c r="E32" s="17"/>
      <c r="F32" s="17"/>
      <c r="G32" s="17"/>
      <c r="H32" s="17"/>
      <c r="I32" s="17"/>
      <c r="J32" s="17"/>
      <c r="K32" s="17"/>
      <c r="L32" s="17"/>
      <c r="M32" s="17"/>
      <c r="N32" s="15"/>
      <c r="O32" s="15"/>
      <c r="P32" s="15"/>
    </row>
    <row r="33" spans="1:16" x14ac:dyDescent="0.35">
      <c r="A33" s="16"/>
      <c r="B33" s="17"/>
      <c r="C33" s="18"/>
      <c r="D33" s="17"/>
      <c r="E33" s="17"/>
      <c r="F33" s="17"/>
      <c r="G33" s="17"/>
      <c r="H33" s="17"/>
      <c r="I33" s="17"/>
      <c r="J33" s="17"/>
      <c r="K33" s="17"/>
      <c r="L33" s="17"/>
      <c r="M33" s="17"/>
      <c r="N33" s="15"/>
      <c r="O33" s="15"/>
      <c r="P33" s="15"/>
    </row>
    <row r="34" spans="1:16" x14ac:dyDescent="0.35">
      <c r="A34" s="16"/>
      <c r="B34" s="17" t="str">
        <f>IF(Directions!$C$32&gt;0,CHOOSE(Directions!$C$32,"January","February","March","April","May","June","July","August","September","October","November","December"),"Month 1")</f>
        <v>Month 1</v>
      </c>
      <c r="C34" s="18" t="str">
        <f>IF(Directions!$C$32+1&gt;12,CHOOSE(Directions!$C$32+1-12,"January","February","March","April","May","June","July","August","September","October","November","December"),IF(Directions!$C$32&lt;0,"Month 2",(CHOOSE(Directions!$C$32+1,"January","February","March","April","May","June","July","August","September","October","November","December"))))</f>
        <v>Month 2</v>
      </c>
      <c r="D34" s="18" t="str">
        <f>IF(Directions!$C$32+2&gt;12,CHOOSE(Directions!$C$32+2-12,"January","February","March","April","May","June","July","August","September","October","November","December"),IF(Directions!$C$32&lt;0,"Month 3",CHOOSE(Directions!$C$32+2,"January","February","March","April","May","June","July","August","September","October","November","December")))</f>
        <v>Month 3</v>
      </c>
      <c r="E34" s="18" t="str">
        <f>IF(Directions!$C$32+3&gt;12,CHOOSE(Directions!$C$32+3-12,"January","February","March","April","May","June","July","August","September","October","November","December"),IF(Directions!$C$32&lt;0,"Month 4",CHOOSE(Directions!$C$32+3,"January","February","March","April","May","June","July","August","September","October","November","December")))</f>
        <v>Month 4</v>
      </c>
      <c r="F34" s="18" t="str">
        <f>IF(Directions!$C$32+4&gt;12,CHOOSE(Directions!$C$32+4-12,"January","February","March","April","May","June","July","August","September","October","November","December"),IF(Directions!$C$32&lt;0,"Month 5",CHOOSE(Directions!$C$32+4,"January","February","March","April","May","June","July","August","September","October","November","December")))</f>
        <v>Month 5</v>
      </c>
      <c r="G34" s="18" t="str">
        <f>IF(Directions!$C$32+5&gt;12,CHOOSE(Directions!$C$32+5-12,"January","February","March","April","May","June","July","August","September","October","November","December"),IF(Directions!$C$32&lt;0,"Month 6",CHOOSE(Directions!$C$32+5,"January","February","March","April","May","June","July","August","September","October","November","December")))</f>
        <v>Month 6</v>
      </c>
      <c r="H34" s="18" t="str">
        <f>IF(Directions!$C$32+6&gt;12,CHOOSE(Directions!$C$32+6-12,"January","February","March","April","May","June","July","August","September","October","November","December"),IF(Directions!$C$32&lt;0,"Month 7",CHOOSE(Directions!$C$32+6,"January","February","March","April","May","June","July","August","September","October","November","December")))</f>
        <v>Month 7</v>
      </c>
      <c r="I34" s="18" t="str">
        <f>IF(Directions!$C$32+7&gt;12,CHOOSE(Directions!$C$32+7-12,"January","February","March","April","May","June","July","August","September","October","November","December"),IF(Directions!$C$32&lt;0,"Month 8",CHOOSE(Directions!$C$32+7,"January","February","March","April","May","June","July","August","September","October","November","December")))</f>
        <v>Month 8</v>
      </c>
      <c r="J34" s="18" t="str">
        <f>IF(Directions!$C$32+8&gt;12,CHOOSE(Directions!$C$32+8-12,"January","February","March","April","May","June","July","August","September","October","November","December"),IF(Directions!$C$32&lt;0,"Month 9",CHOOSE(Directions!$C$32+8,"January","February","March","April","May","June","July","August","September","October","November","December")))</f>
        <v>Month 9</v>
      </c>
      <c r="K34" s="18" t="str">
        <f>IF(Directions!$C$32+9&gt;12,CHOOSE(Directions!$C$32+9-12,"January","February","March","April","May","June","July","August","September","October","November","December"),IF(Directions!$C$32&lt;0,"Month 10",CHOOSE(Directions!$C$32+9,"January","February","March","April","May","June","July","August","September","October","November","December")))</f>
        <v>Month 10</v>
      </c>
      <c r="L34" s="18" t="str">
        <f>IF(Directions!$C$32+10&gt;12,CHOOSE(Directions!$C$32+10-12,"January","February","March","April","May","June","July","August","September","October","November","December"),IF(Directions!$C$32&lt;0,"Month 11",CHOOSE(Directions!$C$32+10,"January","February","March","April","May","June","July","August","September","October","November","December")))</f>
        <v>Month 11</v>
      </c>
      <c r="M34" s="18" t="str">
        <f>IF(Directions!$C$32+11&gt;12,CHOOSE(Directions!$C$32+11-12,"January","February","March","April","May","June","July","August","September","October","November","December"),IF(Directions!$C$32&lt;0,"Month 12",CHOOSE(Directions!$C$32+11,"January","February","March","April","May","June","July","August","September","October","November","December")))</f>
        <v>Month 12</v>
      </c>
      <c r="N34" s="15"/>
      <c r="O34" s="15"/>
      <c r="P34" s="15"/>
    </row>
    <row r="35" spans="1:16" x14ac:dyDescent="0.35">
      <c r="A35" s="16"/>
      <c r="B35" s="16"/>
      <c r="C35" s="18"/>
      <c r="D35" s="16"/>
      <c r="E35" s="16"/>
      <c r="F35" s="16"/>
      <c r="G35" s="16"/>
      <c r="H35" s="16"/>
      <c r="I35" s="16"/>
      <c r="J35" s="16"/>
      <c r="K35" s="16"/>
      <c r="L35" s="16"/>
      <c r="M35" s="16"/>
      <c r="N35" s="15"/>
      <c r="O35" s="15"/>
      <c r="P35" s="15"/>
    </row>
    <row r="36" spans="1:16" x14ac:dyDescent="0.35">
      <c r="A36" s="16"/>
      <c r="B36" s="16"/>
      <c r="C36" s="16"/>
      <c r="D36" s="16"/>
      <c r="E36" s="16"/>
      <c r="F36" s="16"/>
      <c r="G36" s="16"/>
      <c r="H36" s="16"/>
      <c r="I36" s="16"/>
      <c r="J36" s="16"/>
      <c r="K36" s="16"/>
      <c r="L36" s="16"/>
      <c r="M36" s="16"/>
      <c r="N36" s="15"/>
      <c r="O36" s="15"/>
      <c r="P36" s="15"/>
    </row>
    <row r="37" spans="1:16" x14ac:dyDescent="0.35">
      <c r="B37" s="15"/>
      <c r="C37" s="15"/>
      <c r="D37" s="15"/>
      <c r="E37" s="15"/>
      <c r="F37" s="15"/>
      <c r="G37" s="15"/>
      <c r="H37" s="15"/>
      <c r="I37" s="15"/>
      <c r="J37" s="15"/>
      <c r="K37" s="15"/>
      <c r="L37" s="15"/>
      <c r="M37" s="15"/>
      <c r="N37" s="15"/>
      <c r="O37" s="15"/>
      <c r="P37" s="15"/>
    </row>
    <row r="38" spans="1:16" x14ac:dyDescent="0.35">
      <c r="L38" s="15"/>
      <c r="M38" s="15"/>
      <c r="N38" s="15"/>
      <c r="O38" s="15"/>
      <c r="P38" s="15"/>
    </row>
    <row r="40" spans="1:16" x14ac:dyDescent="0.35">
      <c r="E40" s="19"/>
    </row>
    <row r="41" spans="1:16" x14ac:dyDescent="0.35">
      <c r="B41" s="14"/>
      <c r="C41" s="14"/>
      <c r="D41" s="14"/>
    </row>
    <row r="43" spans="1:16" x14ac:dyDescent="0.35">
      <c r="B43" s="19"/>
      <c r="C43" s="19"/>
      <c r="D43" s="19"/>
    </row>
  </sheetData>
  <sheetProtection formatColumns="0" formatRows="0"/>
  <mergeCells count="3">
    <mergeCell ref="B3:F3"/>
    <mergeCell ref="B8:E8"/>
    <mergeCell ref="B41:D41"/>
  </mergeCells>
  <conditionalFormatting sqref="C6:F6">
    <cfRule type="containsBlanks" dxfId="75" priority="1">
      <formula>LEN(TRIM(C6))=0</formula>
    </cfRule>
  </conditionalFormatting>
  <printOptions horizontalCentered="1"/>
  <pageMargins left="0.25" right="0.25" top="0.75" bottom="0.75" header="0.3" footer="0.3"/>
  <pageSetup scale="69" orientation="landscape" r:id="rId1"/>
  <headerFooter scaleWithDoc="0">
    <oddHeader>&amp;L&amp;9&amp;G&amp;R&amp;G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S34"/>
  <sheetViews>
    <sheetView topLeftCell="A16" zoomScaleNormal="100" zoomScalePageLayoutView="80" workbookViewId="0">
      <selection activeCell="J32" sqref="J32"/>
    </sheetView>
  </sheetViews>
  <sheetFormatPr defaultColWidth="8.875" defaultRowHeight="15.75" x14ac:dyDescent="0.35"/>
  <cols>
    <col min="1" max="1" width="11.625" style="118" customWidth="1"/>
    <col min="2" max="2" width="31.25" style="118" bestFit="1" customWidth="1"/>
    <col min="3" max="10" width="9.75" style="120" customWidth="1"/>
    <col min="11" max="11" width="10.375" style="120" bestFit="1" customWidth="1"/>
    <col min="12" max="12" width="9.75" style="120" customWidth="1"/>
    <col min="13" max="13" width="9.75" style="120" bestFit="1" customWidth="1"/>
    <col min="14" max="14" width="9.75" style="120" customWidth="1"/>
    <col min="15" max="15" width="9.125" style="120" customWidth="1"/>
    <col min="16" max="16" width="14.25" style="120" bestFit="1" customWidth="1"/>
    <col min="17" max="17" width="5.875" style="118" bestFit="1" customWidth="1"/>
    <col min="18" max="18" width="7.875" style="120" bestFit="1" customWidth="1"/>
    <col min="19" max="256" width="8.875" style="120"/>
    <col min="257" max="257" width="11.625" style="120" customWidth="1"/>
    <col min="258" max="258" width="31.25" style="120" bestFit="1" customWidth="1"/>
    <col min="259" max="266" width="9.75" style="120" customWidth="1"/>
    <col min="267" max="267" width="10.375" style="120" bestFit="1" customWidth="1"/>
    <col min="268" max="268" width="9.75" style="120" customWidth="1"/>
    <col min="269" max="269" width="9.75" style="120" bestFit="1" customWidth="1"/>
    <col min="270" max="270" width="9.75" style="120" customWidth="1"/>
    <col min="271" max="271" width="9.125" style="120" customWidth="1"/>
    <col min="272" max="272" width="14.25" style="120" bestFit="1" customWidth="1"/>
    <col min="273" max="273" width="5.875" style="120" bestFit="1" customWidth="1"/>
    <col min="274" max="274" width="7.875" style="120" bestFit="1" customWidth="1"/>
    <col min="275" max="512" width="8.875" style="120"/>
    <col min="513" max="513" width="11.625" style="120" customWidth="1"/>
    <col min="514" max="514" width="31.25" style="120" bestFit="1" customWidth="1"/>
    <col min="515" max="522" width="9.75" style="120" customWidth="1"/>
    <col min="523" max="523" width="10.375" style="120" bestFit="1" customWidth="1"/>
    <col min="524" max="524" width="9.75" style="120" customWidth="1"/>
    <col min="525" max="525" width="9.75" style="120" bestFit="1" customWidth="1"/>
    <col min="526" max="526" width="9.75" style="120" customWidth="1"/>
    <col min="527" max="527" width="9.125" style="120" customWidth="1"/>
    <col min="528" max="528" width="14.25" style="120" bestFit="1" customWidth="1"/>
    <col min="529" max="529" width="5.875" style="120" bestFit="1" customWidth="1"/>
    <col min="530" max="530" width="7.875" style="120" bestFit="1" customWidth="1"/>
    <col min="531" max="768" width="8.875" style="120"/>
    <col min="769" max="769" width="11.625" style="120" customWidth="1"/>
    <col min="770" max="770" width="31.25" style="120" bestFit="1" customWidth="1"/>
    <col min="771" max="778" width="9.75" style="120" customWidth="1"/>
    <col min="779" max="779" width="10.375" style="120" bestFit="1" customWidth="1"/>
    <col min="780" max="780" width="9.75" style="120" customWidth="1"/>
    <col min="781" max="781" width="9.75" style="120" bestFit="1" customWidth="1"/>
    <col min="782" max="782" width="9.75" style="120" customWidth="1"/>
    <col min="783" max="783" width="9.125" style="120" customWidth="1"/>
    <col min="784" max="784" width="14.25" style="120" bestFit="1" customWidth="1"/>
    <col min="785" max="785" width="5.875" style="120" bestFit="1" customWidth="1"/>
    <col min="786" max="786" width="7.875" style="120" bestFit="1" customWidth="1"/>
    <col min="787" max="1024" width="8.875" style="120"/>
    <col min="1025" max="1025" width="11.625" style="120" customWidth="1"/>
    <col min="1026" max="1026" width="31.25" style="120" bestFit="1" customWidth="1"/>
    <col min="1027" max="1034" width="9.75" style="120" customWidth="1"/>
    <col min="1035" max="1035" width="10.375" style="120" bestFit="1" customWidth="1"/>
    <col min="1036" max="1036" width="9.75" style="120" customWidth="1"/>
    <col min="1037" max="1037" width="9.75" style="120" bestFit="1" customWidth="1"/>
    <col min="1038" max="1038" width="9.75" style="120" customWidth="1"/>
    <col min="1039" max="1039" width="9.125" style="120" customWidth="1"/>
    <col min="1040" max="1040" width="14.25" style="120" bestFit="1" customWidth="1"/>
    <col min="1041" max="1041" width="5.875" style="120" bestFit="1" customWidth="1"/>
    <col min="1042" max="1042" width="7.875" style="120" bestFit="1" customWidth="1"/>
    <col min="1043" max="1280" width="8.875" style="120"/>
    <col min="1281" max="1281" width="11.625" style="120" customWidth="1"/>
    <col min="1282" max="1282" width="31.25" style="120" bestFit="1" customWidth="1"/>
    <col min="1283" max="1290" width="9.75" style="120" customWidth="1"/>
    <col min="1291" max="1291" width="10.375" style="120" bestFit="1" customWidth="1"/>
    <col min="1292" max="1292" width="9.75" style="120" customWidth="1"/>
    <col min="1293" max="1293" width="9.75" style="120" bestFit="1" customWidth="1"/>
    <col min="1294" max="1294" width="9.75" style="120" customWidth="1"/>
    <col min="1295" max="1295" width="9.125" style="120" customWidth="1"/>
    <col min="1296" max="1296" width="14.25" style="120" bestFit="1" customWidth="1"/>
    <col min="1297" max="1297" width="5.875" style="120" bestFit="1" customWidth="1"/>
    <col min="1298" max="1298" width="7.875" style="120" bestFit="1" customWidth="1"/>
    <col min="1299" max="1536" width="8.875" style="120"/>
    <col min="1537" max="1537" width="11.625" style="120" customWidth="1"/>
    <col min="1538" max="1538" width="31.25" style="120" bestFit="1" customWidth="1"/>
    <col min="1539" max="1546" width="9.75" style="120" customWidth="1"/>
    <col min="1547" max="1547" width="10.375" style="120" bestFit="1" customWidth="1"/>
    <col min="1548" max="1548" width="9.75" style="120" customWidth="1"/>
    <col min="1549" max="1549" width="9.75" style="120" bestFit="1" customWidth="1"/>
    <col min="1550" max="1550" width="9.75" style="120" customWidth="1"/>
    <col min="1551" max="1551" width="9.125" style="120" customWidth="1"/>
    <col min="1552" max="1552" width="14.25" style="120" bestFit="1" customWidth="1"/>
    <col min="1553" max="1553" width="5.875" style="120" bestFit="1" customWidth="1"/>
    <col min="1554" max="1554" width="7.875" style="120" bestFit="1" customWidth="1"/>
    <col min="1555" max="1792" width="8.875" style="120"/>
    <col min="1793" max="1793" width="11.625" style="120" customWidth="1"/>
    <col min="1794" max="1794" width="31.25" style="120" bestFit="1" customWidth="1"/>
    <col min="1795" max="1802" width="9.75" style="120" customWidth="1"/>
    <col min="1803" max="1803" width="10.375" style="120" bestFit="1" customWidth="1"/>
    <col min="1804" max="1804" width="9.75" style="120" customWidth="1"/>
    <col min="1805" max="1805" width="9.75" style="120" bestFit="1" customWidth="1"/>
    <col min="1806" max="1806" width="9.75" style="120" customWidth="1"/>
    <col min="1807" max="1807" width="9.125" style="120" customWidth="1"/>
    <col min="1808" max="1808" width="14.25" style="120" bestFit="1" customWidth="1"/>
    <col min="1809" max="1809" width="5.875" style="120" bestFit="1" customWidth="1"/>
    <col min="1810" max="1810" width="7.875" style="120" bestFit="1" customWidth="1"/>
    <col min="1811" max="2048" width="8.875" style="120"/>
    <col min="2049" max="2049" width="11.625" style="120" customWidth="1"/>
    <col min="2050" max="2050" width="31.25" style="120" bestFit="1" customWidth="1"/>
    <col min="2051" max="2058" width="9.75" style="120" customWidth="1"/>
    <col min="2059" max="2059" width="10.375" style="120" bestFit="1" customWidth="1"/>
    <col min="2060" max="2060" width="9.75" style="120" customWidth="1"/>
    <col min="2061" max="2061" width="9.75" style="120" bestFit="1" customWidth="1"/>
    <col min="2062" max="2062" width="9.75" style="120" customWidth="1"/>
    <col min="2063" max="2063" width="9.125" style="120" customWidth="1"/>
    <col min="2064" max="2064" width="14.25" style="120" bestFit="1" customWidth="1"/>
    <col min="2065" max="2065" width="5.875" style="120" bestFit="1" customWidth="1"/>
    <col min="2066" max="2066" width="7.875" style="120" bestFit="1" customWidth="1"/>
    <col min="2067" max="2304" width="8.875" style="120"/>
    <col min="2305" max="2305" width="11.625" style="120" customWidth="1"/>
    <col min="2306" max="2306" width="31.25" style="120" bestFit="1" customWidth="1"/>
    <col min="2307" max="2314" width="9.75" style="120" customWidth="1"/>
    <col min="2315" max="2315" width="10.375" style="120" bestFit="1" customWidth="1"/>
    <col min="2316" max="2316" width="9.75" style="120" customWidth="1"/>
    <col min="2317" max="2317" width="9.75" style="120" bestFit="1" customWidth="1"/>
    <col min="2318" max="2318" width="9.75" style="120" customWidth="1"/>
    <col min="2319" max="2319" width="9.125" style="120" customWidth="1"/>
    <col min="2320" max="2320" width="14.25" style="120" bestFit="1" customWidth="1"/>
    <col min="2321" max="2321" width="5.875" style="120" bestFit="1" customWidth="1"/>
    <col min="2322" max="2322" width="7.875" style="120" bestFit="1" customWidth="1"/>
    <col min="2323" max="2560" width="8.875" style="120"/>
    <col min="2561" max="2561" width="11.625" style="120" customWidth="1"/>
    <col min="2562" max="2562" width="31.25" style="120" bestFit="1" customWidth="1"/>
    <col min="2563" max="2570" width="9.75" style="120" customWidth="1"/>
    <col min="2571" max="2571" width="10.375" style="120" bestFit="1" customWidth="1"/>
    <col min="2572" max="2572" width="9.75" style="120" customWidth="1"/>
    <col min="2573" max="2573" width="9.75" style="120" bestFit="1" customWidth="1"/>
    <col min="2574" max="2574" width="9.75" style="120" customWidth="1"/>
    <col min="2575" max="2575" width="9.125" style="120" customWidth="1"/>
    <col min="2576" max="2576" width="14.25" style="120" bestFit="1" customWidth="1"/>
    <col min="2577" max="2577" width="5.875" style="120" bestFit="1" customWidth="1"/>
    <col min="2578" max="2578" width="7.875" style="120" bestFit="1" customWidth="1"/>
    <col min="2579" max="2816" width="8.875" style="120"/>
    <col min="2817" max="2817" width="11.625" style="120" customWidth="1"/>
    <col min="2818" max="2818" width="31.25" style="120" bestFit="1" customWidth="1"/>
    <col min="2819" max="2826" width="9.75" style="120" customWidth="1"/>
    <col min="2827" max="2827" width="10.375" style="120" bestFit="1" customWidth="1"/>
    <col min="2828" max="2828" width="9.75" style="120" customWidth="1"/>
    <col min="2829" max="2829" width="9.75" style="120" bestFit="1" customWidth="1"/>
    <col min="2830" max="2830" width="9.75" style="120" customWidth="1"/>
    <col min="2831" max="2831" width="9.125" style="120" customWidth="1"/>
    <col min="2832" max="2832" width="14.25" style="120" bestFit="1" customWidth="1"/>
    <col min="2833" max="2833" width="5.875" style="120" bestFit="1" customWidth="1"/>
    <col min="2834" max="2834" width="7.875" style="120" bestFit="1" customWidth="1"/>
    <col min="2835" max="3072" width="8.875" style="120"/>
    <col min="3073" max="3073" width="11.625" style="120" customWidth="1"/>
    <col min="3074" max="3074" width="31.25" style="120" bestFit="1" customWidth="1"/>
    <col min="3075" max="3082" width="9.75" style="120" customWidth="1"/>
    <col min="3083" max="3083" width="10.375" style="120" bestFit="1" customWidth="1"/>
    <col min="3084" max="3084" width="9.75" style="120" customWidth="1"/>
    <col min="3085" max="3085" width="9.75" style="120" bestFit="1" customWidth="1"/>
    <col min="3086" max="3086" width="9.75" style="120" customWidth="1"/>
    <col min="3087" max="3087" width="9.125" style="120" customWidth="1"/>
    <col min="3088" max="3088" width="14.25" style="120" bestFit="1" customWidth="1"/>
    <col min="3089" max="3089" width="5.875" style="120" bestFit="1" customWidth="1"/>
    <col min="3090" max="3090" width="7.875" style="120" bestFit="1" customWidth="1"/>
    <col min="3091" max="3328" width="8.875" style="120"/>
    <col min="3329" max="3329" width="11.625" style="120" customWidth="1"/>
    <col min="3330" max="3330" width="31.25" style="120" bestFit="1" customWidth="1"/>
    <col min="3331" max="3338" width="9.75" style="120" customWidth="1"/>
    <col min="3339" max="3339" width="10.375" style="120" bestFit="1" customWidth="1"/>
    <col min="3340" max="3340" width="9.75" style="120" customWidth="1"/>
    <col min="3341" max="3341" width="9.75" style="120" bestFit="1" customWidth="1"/>
    <col min="3342" max="3342" width="9.75" style="120" customWidth="1"/>
    <col min="3343" max="3343" width="9.125" style="120" customWidth="1"/>
    <col min="3344" max="3344" width="14.25" style="120" bestFit="1" customWidth="1"/>
    <col min="3345" max="3345" width="5.875" style="120" bestFit="1" customWidth="1"/>
    <col min="3346" max="3346" width="7.875" style="120" bestFit="1" customWidth="1"/>
    <col min="3347" max="3584" width="8.875" style="120"/>
    <col min="3585" max="3585" width="11.625" style="120" customWidth="1"/>
    <col min="3586" max="3586" width="31.25" style="120" bestFit="1" customWidth="1"/>
    <col min="3587" max="3594" width="9.75" style="120" customWidth="1"/>
    <col min="3595" max="3595" width="10.375" style="120" bestFit="1" customWidth="1"/>
    <col min="3596" max="3596" width="9.75" style="120" customWidth="1"/>
    <col min="3597" max="3597" width="9.75" style="120" bestFit="1" customWidth="1"/>
    <col min="3598" max="3598" width="9.75" style="120" customWidth="1"/>
    <col min="3599" max="3599" width="9.125" style="120" customWidth="1"/>
    <col min="3600" max="3600" width="14.25" style="120" bestFit="1" customWidth="1"/>
    <col min="3601" max="3601" width="5.875" style="120" bestFit="1" customWidth="1"/>
    <col min="3602" max="3602" width="7.875" style="120" bestFit="1" customWidth="1"/>
    <col min="3603" max="3840" width="8.875" style="120"/>
    <col min="3841" max="3841" width="11.625" style="120" customWidth="1"/>
    <col min="3842" max="3842" width="31.25" style="120" bestFit="1" customWidth="1"/>
    <col min="3843" max="3850" width="9.75" style="120" customWidth="1"/>
    <col min="3851" max="3851" width="10.375" style="120" bestFit="1" customWidth="1"/>
    <col min="3852" max="3852" width="9.75" style="120" customWidth="1"/>
    <col min="3853" max="3853" width="9.75" style="120" bestFit="1" customWidth="1"/>
    <col min="3854" max="3854" width="9.75" style="120" customWidth="1"/>
    <col min="3855" max="3855" width="9.125" style="120" customWidth="1"/>
    <col min="3856" max="3856" width="14.25" style="120" bestFit="1" customWidth="1"/>
    <col min="3857" max="3857" width="5.875" style="120" bestFit="1" customWidth="1"/>
    <col min="3858" max="3858" width="7.875" style="120" bestFit="1" customWidth="1"/>
    <col min="3859" max="4096" width="8.875" style="120"/>
    <col min="4097" max="4097" width="11.625" style="120" customWidth="1"/>
    <col min="4098" max="4098" width="31.25" style="120" bestFit="1" customWidth="1"/>
    <col min="4099" max="4106" width="9.75" style="120" customWidth="1"/>
    <col min="4107" max="4107" width="10.375" style="120" bestFit="1" customWidth="1"/>
    <col min="4108" max="4108" width="9.75" style="120" customWidth="1"/>
    <col min="4109" max="4109" width="9.75" style="120" bestFit="1" customWidth="1"/>
    <col min="4110" max="4110" width="9.75" style="120" customWidth="1"/>
    <col min="4111" max="4111" width="9.125" style="120" customWidth="1"/>
    <col min="4112" max="4112" width="14.25" style="120" bestFit="1" customWidth="1"/>
    <col min="4113" max="4113" width="5.875" style="120" bestFit="1" customWidth="1"/>
    <col min="4114" max="4114" width="7.875" style="120" bestFit="1" customWidth="1"/>
    <col min="4115" max="4352" width="8.875" style="120"/>
    <col min="4353" max="4353" width="11.625" style="120" customWidth="1"/>
    <col min="4354" max="4354" width="31.25" style="120" bestFit="1" customWidth="1"/>
    <col min="4355" max="4362" width="9.75" style="120" customWidth="1"/>
    <col min="4363" max="4363" width="10.375" style="120" bestFit="1" customWidth="1"/>
    <col min="4364" max="4364" width="9.75" style="120" customWidth="1"/>
    <col min="4365" max="4365" width="9.75" style="120" bestFit="1" customWidth="1"/>
    <col min="4366" max="4366" width="9.75" style="120" customWidth="1"/>
    <col min="4367" max="4367" width="9.125" style="120" customWidth="1"/>
    <col min="4368" max="4368" width="14.25" style="120" bestFit="1" customWidth="1"/>
    <col min="4369" max="4369" width="5.875" style="120" bestFit="1" customWidth="1"/>
    <col min="4370" max="4370" width="7.875" style="120" bestFit="1" customWidth="1"/>
    <col min="4371" max="4608" width="8.875" style="120"/>
    <col min="4609" max="4609" width="11.625" style="120" customWidth="1"/>
    <col min="4610" max="4610" width="31.25" style="120" bestFit="1" customWidth="1"/>
    <col min="4611" max="4618" width="9.75" style="120" customWidth="1"/>
    <col min="4619" max="4619" width="10.375" style="120" bestFit="1" customWidth="1"/>
    <col min="4620" max="4620" width="9.75" style="120" customWidth="1"/>
    <col min="4621" max="4621" width="9.75" style="120" bestFit="1" customWidth="1"/>
    <col min="4622" max="4622" width="9.75" style="120" customWidth="1"/>
    <col min="4623" max="4623" width="9.125" style="120" customWidth="1"/>
    <col min="4624" max="4624" width="14.25" style="120" bestFit="1" customWidth="1"/>
    <col min="4625" max="4625" width="5.875" style="120" bestFit="1" customWidth="1"/>
    <col min="4626" max="4626" width="7.875" style="120" bestFit="1" customWidth="1"/>
    <col min="4627" max="4864" width="8.875" style="120"/>
    <col min="4865" max="4865" width="11.625" style="120" customWidth="1"/>
    <col min="4866" max="4866" width="31.25" style="120" bestFit="1" customWidth="1"/>
    <col min="4867" max="4874" width="9.75" style="120" customWidth="1"/>
    <col min="4875" max="4875" width="10.375" style="120" bestFit="1" customWidth="1"/>
    <col min="4876" max="4876" width="9.75" style="120" customWidth="1"/>
    <col min="4877" max="4877" width="9.75" style="120" bestFit="1" customWidth="1"/>
    <col min="4878" max="4878" width="9.75" style="120" customWidth="1"/>
    <col min="4879" max="4879" width="9.125" style="120" customWidth="1"/>
    <col min="4880" max="4880" width="14.25" style="120" bestFit="1" customWidth="1"/>
    <col min="4881" max="4881" width="5.875" style="120" bestFit="1" customWidth="1"/>
    <col min="4882" max="4882" width="7.875" style="120" bestFit="1" customWidth="1"/>
    <col min="4883" max="5120" width="8.875" style="120"/>
    <col min="5121" max="5121" width="11.625" style="120" customWidth="1"/>
    <col min="5122" max="5122" width="31.25" style="120" bestFit="1" customWidth="1"/>
    <col min="5123" max="5130" width="9.75" style="120" customWidth="1"/>
    <col min="5131" max="5131" width="10.375" style="120" bestFit="1" customWidth="1"/>
    <col min="5132" max="5132" width="9.75" style="120" customWidth="1"/>
    <col min="5133" max="5133" width="9.75" style="120" bestFit="1" customWidth="1"/>
    <col min="5134" max="5134" width="9.75" style="120" customWidth="1"/>
    <col min="5135" max="5135" width="9.125" style="120" customWidth="1"/>
    <col min="5136" max="5136" width="14.25" style="120" bestFit="1" customWidth="1"/>
    <col min="5137" max="5137" width="5.875" style="120" bestFit="1" customWidth="1"/>
    <col min="5138" max="5138" width="7.875" style="120" bestFit="1" customWidth="1"/>
    <col min="5139" max="5376" width="8.875" style="120"/>
    <col min="5377" max="5377" width="11.625" style="120" customWidth="1"/>
    <col min="5378" max="5378" width="31.25" style="120" bestFit="1" customWidth="1"/>
    <col min="5379" max="5386" width="9.75" style="120" customWidth="1"/>
    <col min="5387" max="5387" width="10.375" style="120" bestFit="1" customWidth="1"/>
    <col min="5388" max="5388" width="9.75" style="120" customWidth="1"/>
    <col min="5389" max="5389" width="9.75" style="120" bestFit="1" customWidth="1"/>
    <col min="5390" max="5390" width="9.75" style="120" customWidth="1"/>
    <col min="5391" max="5391" width="9.125" style="120" customWidth="1"/>
    <col min="5392" max="5392" width="14.25" style="120" bestFit="1" customWidth="1"/>
    <col min="5393" max="5393" width="5.875" style="120" bestFit="1" customWidth="1"/>
    <col min="5394" max="5394" width="7.875" style="120" bestFit="1" customWidth="1"/>
    <col min="5395" max="5632" width="8.875" style="120"/>
    <col min="5633" max="5633" width="11.625" style="120" customWidth="1"/>
    <col min="5634" max="5634" width="31.25" style="120" bestFit="1" customWidth="1"/>
    <col min="5635" max="5642" width="9.75" style="120" customWidth="1"/>
    <col min="5643" max="5643" width="10.375" style="120" bestFit="1" customWidth="1"/>
    <col min="5644" max="5644" width="9.75" style="120" customWidth="1"/>
    <col min="5645" max="5645" width="9.75" style="120" bestFit="1" customWidth="1"/>
    <col min="5646" max="5646" width="9.75" style="120" customWidth="1"/>
    <col min="5647" max="5647" width="9.125" style="120" customWidth="1"/>
    <col min="5648" max="5648" width="14.25" style="120" bestFit="1" customWidth="1"/>
    <col min="5649" max="5649" width="5.875" style="120" bestFit="1" customWidth="1"/>
    <col min="5650" max="5650" width="7.875" style="120" bestFit="1" customWidth="1"/>
    <col min="5651" max="5888" width="8.875" style="120"/>
    <col min="5889" max="5889" width="11.625" style="120" customWidth="1"/>
    <col min="5890" max="5890" width="31.25" style="120" bestFit="1" customWidth="1"/>
    <col min="5891" max="5898" width="9.75" style="120" customWidth="1"/>
    <col min="5899" max="5899" width="10.375" style="120" bestFit="1" customWidth="1"/>
    <col min="5900" max="5900" width="9.75" style="120" customWidth="1"/>
    <col min="5901" max="5901" width="9.75" style="120" bestFit="1" customWidth="1"/>
    <col min="5902" max="5902" width="9.75" style="120" customWidth="1"/>
    <col min="5903" max="5903" width="9.125" style="120" customWidth="1"/>
    <col min="5904" max="5904" width="14.25" style="120" bestFit="1" customWidth="1"/>
    <col min="5905" max="5905" width="5.875" style="120" bestFit="1" customWidth="1"/>
    <col min="5906" max="5906" width="7.875" style="120" bestFit="1" customWidth="1"/>
    <col min="5907" max="6144" width="8.875" style="120"/>
    <col min="6145" max="6145" width="11.625" style="120" customWidth="1"/>
    <col min="6146" max="6146" width="31.25" style="120" bestFit="1" customWidth="1"/>
    <col min="6147" max="6154" width="9.75" style="120" customWidth="1"/>
    <col min="6155" max="6155" width="10.375" style="120" bestFit="1" customWidth="1"/>
    <col min="6156" max="6156" width="9.75" style="120" customWidth="1"/>
    <col min="6157" max="6157" width="9.75" style="120" bestFit="1" customWidth="1"/>
    <col min="6158" max="6158" width="9.75" style="120" customWidth="1"/>
    <col min="6159" max="6159" width="9.125" style="120" customWidth="1"/>
    <col min="6160" max="6160" width="14.25" style="120" bestFit="1" customWidth="1"/>
    <col min="6161" max="6161" width="5.875" style="120" bestFit="1" customWidth="1"/>
    <col min="6162" max="6162" width="7.875" style="120" bestFit="1" customWidth="1"/>
    <col min="6163" max="6400" width="8.875" style="120"/>
    <col min="6401" max="6401" width="11.625" style="120" customWidth="1"/>
    <col min="6402" max="6402" width="31.25" style="120" bestFit="1" customWidth="1"/>
    <col min="6403" max="6410" width="9.75" style="120" customWidth="1"/>
    <col min="6411" max="6411" width="10.375" style="120" bestFit="1" customWidth="1"/>
    <col min="6412" max="6412" width="9.75" style="120" customWidth="1"/>
    <col min="6413" max="6413" width="9.75" style="120" bestFit="1" customWidth="1"/>
    <col min="6414" max="6414" width="9.75" style="120" customWidth="1"/>
    <col min="6415" max="6415" width="9.125" style="120" customWidth="1"/>
    <col min="6416" max="6416" width="14.25" style="120" bestFit="1" customWidth="1"/>
    <col min="6417" max="6417" width="5.875" style="120" bestFit="1" customWidth="1"/>
    <col min="6418" max="6418" width="7.875" style="120" bestFit="1" customWidth="1"/>
    <col min="6419" max="6656" width="8.875" style="120"/>
    <col min="6657" max="6657" width="11.625" style="120" customWidth="1"/>
    <col min="6658" max="6658" width="31.25" style="120" bestFit="1" customWidth="1"/>
    <col min="6659" max="6666" width="9.75" style="120" customWidth="1"/>
    <col min="6667" max="6667" width="10.375" style="120" bestFit="1" customWidth="1"/>
    <col min="6668" max="6668" width="9.75" style="120" customWidth="1"/>
    <col min="6669" max="6669" width="9.75" style="120" bestFit="1" customWidth="1"/>
    <col min="6670" max="6670" width="9.75" style="120" customWidth="1"/>
    <col min="6671" max="6671" width="9.125" style="120" customWidth="1"/>
    <col min="6672" max="6672" width="14.25" style="120" bestFit="1" customWidth="1"/>
    <col min="6673" max="6673" width="5.875" style="120" bestFit="1" customWidth="1"/>
    <col min="6674" max="6674" width="7.875" style="120" bestFit="1" customWidth="1"/>
    <col min="6675" max="6912" width="8.875" style="120"/>
    <col min="6913" max="6913" width="11.625" style="120" customWidth="1"/>
    <col min="6914" max="6914" width="31.25" style="120" bestFit="1" customWidth="1"/>
    <col min="6915" max="6922" width="9.75" style="120" customWidth="1"/>
    <col min="6923" max="6923" width="10.375" style="120" bestFit="1" customWidth="1"/>
    <col min="6924" max="6924" width="9.75" style="120" customWidth="1"/>
    <col min="6925" max="6925" width="9.75" style="120" bestFit="1" customWidth="1"/>
    <col min="6926" max="6926" width="9.75" style="120" customWidth="1"/>
    <col min="6927" max="6927" width="9.125" style="120" customWidth="1"/>
    <col min="6928" max="6928" width="14.25" style="120" bestFit="1" customWidth="1"/>
    <col min="6929" max="6929" width="5.875" style="120" bestFit="1" customWidth="1"/>
    <col min="6930" max="6930" width="7.875" style="120" bestFit="1" customWidth="1"/>
    <col min="6931" max="7168" width="8.875" style="120"/>
    <col min="7169" max="7169" width="11.625" style="120" customWidth="1"/>
    <col min="7170" max="7170" width="31.25" style="120" bestFit="1" customWidth="1"/>
    <col min="7171" max="7178" width="9.75" style="120" customWidth="1"/>
    <col min="7179" max="7179" width="10.375" style="120" bestFit="1" customWidth="1"/>
    <col min="7180" max="7180" width="9.75" style="120" customWidth="1"/>
    <col min="7181" max="7181" width="9.75" style="120" bestFit="1" customWidth="1"/>
    <col min="7182" max="7182" width="9.75" style="120" customWidth="1"/>
    <col min="7183" max="7183" width="9.125" style="120" customWidth="1"/>
    <col min="7184" max="7184" width="14.25" style="120" bestFit="1" customWidth="1"/>
    <col min="7185" max="7185" width="5.875" style="120" bestFit="1" customWidth="1"/>
    <col min="7186" max="7186" width="7.875" style="120" bestFit="1" customWidth="1"/>
    <col min="7187" max="7424" width="8.875" style="120"/>
    <col min="7425" max="7425" width="11.625" style="120" customWidth="1"/>
    <col min="7426" max="7426" width="31.25" style="120" bestFit="1" customWidth="1"/>
    <col min="7427" max="7434" width="9.75" style="120" customWidth="1"/>
    <col min="7435" max="7435" width="10.375" style="120" bestFit="1" customWidth="1"/>
    <col min="7436" max="7436" width="9.75" style="120" customWidth="1"/>
    <col min="7437" max="7437" width="9.75" style="120" bestFit="1" customWidth="1"/>
    <col min="7438" max="7438" width="9.75" style="120" customWidth="1"/>
    <col min="7439" max="7439" width="9.125" style="120" customWidth="1"/>
    <col min="7440" max="7440" width="14.25" style="120" bestFit="1" customWidth="1"/>
    <col min="7441" max="7441" width="5.875" style="120" bestFit="1" customWidth="1"/>
    <col min="7442" max="7442" width="7.875" style="120" bestFit="1" customWidth="1"/>
    <col min="7443" max="7680" width="8.875" style="120"/>
    <col min="7681" max="7681" width="11.625" style="120" customWidth="1"/>
    <col min="7682" max="7682" width="31.25" style="120" bestFit="1" customWidth="1"/>
    <col min="7683" max="7690" width="9.75" style="120" customWidth="1"/>
    <col min="7691" max="7691" width="10.375" style="120" bestFit="1" customWidth="1"/>
    <col min="7692" max="7692" width="9.75" style="120" customWidth="1"/>
    <col min="7693" max="7693" width="9.75" style="120" bestFit="1" customWidth="1"/>
    <col min="7694" max="7694" width="9.75" style="120" customWidth="1"/>
    <col min="7695" max="7695" width="9.125" style="120" customWidth="1"/>
    <col min="7696" max="7696" width="14.25" style="120" bestFit="1" customWidth="1"/>
    <col min="7697" max="7697" width="5.875" style="120" bestFit="1" customWidth="1"/>
    <col min="7698" max="7698" width="7.875" style="120" bestFit="1" customWidth="1"/>
    <col min="7699" max="7936" width="8.875" style="120"/>
    <col min="7937" max="7937" width="11.625" style="120" customWidth="1"/>
    <col min="7938" max="7938" width="31.25" style="120" bestFit="1" customWidth="1"/>
    <col min="7939" max="7946" width="9.75" style="120" customWidth="1"/>
    <col min="7947" max="7947" width="10.375" style="120" bestFit="1" customWidth="1"/>
    <col min="7948" max="7948" width="9.75" style="120" customWidth="1"/>
    <col min="7949" max="7949" width="9.75" style="120" bestFit="1" customWidth="1"/>
    <col min="7950" max="7950" width="9.75" style="120" customWidth="1"/>
    <col min="7951" max="7951" width="9.125" style="120" customWidth="1"/>
    <col min="7952" max="7952" width="14.25" style="120" bestFit="1" customWidth="1"/>
    <col min="7953" max="7953" width="5.875" style="120" bestFit="1" customWidth="1"/>
    <col min="7954" max="7954" width="7.875" style="120" bestFit="1" customWidth="1"/>
    <col min="7955" max="8192" width="8.875" style="120"/>
    <col min="8193" max="8193" width="11.625" style="120" customWidth="1"/>
    <col min="8194" max="8194" width="31.25" style="120" bestFit="1" customWidth="1"/>
    <col min="8195" max="8202" width="9.75" style="120" customWidth="1"/>
    <col min="8203" max="8203" width="10.375" style="120" bestFit="1" customWidth="1"/>
    <col min="8204" max="8204" width="9.75" style="120" customWidth="1"/>
    <col min="8205" max="8205" width="9.75" style="120" bestFit="1" customWidth="1"/>
    <col min="8206" max="8206" width="9.75" style="120" customWidth="1"/>
    <col min="8207" max="8207" width="9.125" style="120" customWidth="1"/>
    <col min="8208" max="8208" width="14.25" style="120" bestFit="1" customWidth="1"/>
    <col min="8209" max="8209" width="5.875" style="120" bestFit="1" customWidth="1"/>
    <col min="8210" max="8210" width="7.875" style="120" bestFit="1" customWidth="1"/>
    <col min="8211" max="8448" width="8.875" style="120"/>
    <col min="8449" max="8449" width="11.625" style="120" customWidth="1"/>
    <col min="8450" max="8450" width="31.25" style="120" bestFit="1" customWidth="1"/>
    <col min="8451" max="8458" width="9.75" style="120" customWidth="1"/>
    <col min="8459" max="8459" width="10.375" style="120" bestFit="1" customWidth="1"/>
    <col min="8460" max="8460" width="9.75" style="120" customWidth="1"/>
    <col min="8461" max="8461" width="9.75" style="120" bestFit="1" customWidth="1"/>
    <col min="8462" max="8462" width="9.75" style="120" customWidth="1"/>
    <col min="8463" max="8463" width="9.125" style="120" customWidth="1"/>
    <col min="8464" max="8464" width="14.25" style="120" bestFit="1" customWidth="1"/>
    <col min="8465" max="8465" width="5.875" style="120" bestFit="1" customWidth="1"/>
    <col min="8466" max="8466" width="7.875" style="120" bestFit="1" customWidth="1"/>
    <col min="8467" max="8704" width="8.875" style="120"/>
    <col min="8705" max="8705" width="11.625" style="120" customWidth="1"/>
    <col min="8706" max="8706" width="31.25" style="120" bestFit="1" customWidth="1"/>
    <col min="8707" max="8714" width="9.75" style="120" customWidth="1"/>
    <col min="8715" max="8715" width="10.375" style="120" bestFit="1" customWidth="1"/>
    <col min="8716" max="8716" width="9.75" style="120" customWidth="1"/>
    <col min="8717" max="8717" width="9.75" style="120" bestFit="1" customWidth="1"/>
    <col min="8718" max="8718" width="9.75" style="120" customWidth="1"/>
    <col min="8719" max="8719" width="9.125" style="120" customWidth="1"/>
    <col min="8720" max="8720" width="14.25" style="120" bestFit="1" customWidth="1"/>
    <col min="8721" max="8721" width="5.875" style="120" bestFit="1" customWidth="1"/>
    <col min="8722" max="8722" width="7.875" style="120" bestFit="1" customWidth="1"/>
    <col min="8723" max="8960" width="8.875" style="120"/>
    <col min="8961" max="8961" width="11.625" style="120" customWidth="1"/>
    <col min="8962" max="8962" width="31.25" style="120" bestFit="1" customWidth="1"/>
    <col min="8963" max="8970" width="9.75" style="120" customWidth="1"/>
    <col min="8971" max="8971" width="10.375" style="120" bestFit="1" customWidth="1"/>
    <col min="8972" max="8972" width="9.75" style="120" customWidth="1"/>
    <col min="8973" max="8973" width="9.75" style="120" bestFit="1" customWidth="1"/>
    <col min="8974" max="8974" width="9.75" style="120" customWidth="1"/>
    <col min="8975" max="8975" width="9.125" style="120" customWidth="1"/>
    <col min="8976" max="8976" width="14.25" style="120" bestFit="1" customWidth="1"/>
    <col min="8977" max="8977" width="5.875" style="120" bestFit="1" customWidth="1"/>
    <col min="8978" max="8978" width="7.875" style="120" bestFit="1" customWidth="1"/>
    <col min="8979" max="9216" width="8.875" style="120"/>
    <col min="9217" max="9217" width="11.625" style="120" customWidth="1"/>
    <col min="9218" max="9218" width="31.25" style="120" bestFit="1" customWidth="1"/>
    <col min="9219" max="9226" width="9.75" style="120" customWidth="1"/>
    <col min="9227" max="9227" width="10.375" style="120" bestFit="1" customWidth="1"/>
    <col min="9228" max="9228" width="9.75" style="120" customWidth="1"/>
    <col min="9229" max="9229" width="9.75" style="120" bestFit="1" customWidth="1"/>
    <col min="9230" max="9230" width="9.75" style="120" customWidth="1"/>
    <col min="9231" max="9231" width="9.125" style="120" customWidth="1"/>
    <col min="9232" max="9232" width="14.25" style="120" bestFit="1" customWidth="1"/>
    <col min="9233" max="9233" width="5.875" style="120" bestFit="1" customWidth="1"/>
    <col min="9234" max="9234" width="7.875" style="120" bestFit="1" customWidth="1"/>
    <col min="9235" max="9472" width="8.875" style="120"/>
    <col min="9473" max="9473" width="11.625" style="120" customWidth="1"/>
    <col min="9474" max="9474" width="31.25" style="120" bestFit="1" customWidth="1"/>
    <col min="9475" max="9482" width="9.75" style="120" customWidth="1"/>
    <col min="9483" max="9483" width="10.375" style="120" bestFit="1" customWidth="1"/>
    <col min="9484" max="9484" width="9.75" style="120" customWidth="1"/>
    <col min="9485" max="9485" width="9.75" style="120" bestFit="1" customWidth="1"/>
    <col min="9486" max="9486" width="9.75" style="120" customWidth="1"/>
    <col min="9487" max="9487" width="9.125" style="120" customWidth="1"/>
    <col min="9488" max="9488" width="14.25" style="120" bestFit="1" customWidth="1"/>
    <col min="9489" max="9489" width="5.875" style="120" bestFit="1" customWidth="1"/>
    <col min="9490" max="9490" width="7.875" style="120" bestFit="1" customWidth="1"/>
    <col min="9491" max="9728" width="8.875" style="120"/>
    <col min="9729" max="9729" width="11.625" style="120" customWidth="1"/>
    <col min="9730" max="9730" width="31.25" style="120" bestFit="1" customWidth="1"/>
    <col min="9731" max="9738" width="9.75" style="120" customWidth="1"/>
    <col min="9739" max="9739" width="10.375" style="120" bestFit="1" customWidth="1"/>
    <col min="9740" max="9740" width="9.75" style="120" customWidth="1"/>
    <col min="9741" max="9741" width="9.75" style="120" bestFit="1" customWidth="1"/>
    <col min="9742" max="9742" width="9.75" style="120" customWidth="1"/>
    <col min="9743" max="9743" width="9.125" style="120" customWidth="1"/>
    <col min="9744" max="9744" width="14.25" style="120" bestFit="1" customWidth="1"/>
    <col min="9745" max="9745" width="5.875" style="120" bestFit="1" customWidth="1"/>
    <col min="9746" max="9746" width="7.875" style="120" bestFit="1" customWidth="1"/>
    <col min="9747" max="9984" width="8.875" style="120"/>
    <col min="9985" max="9985" width="11.625" style="120" customWidth="1"/>
    <col min="9986" max="9986" width="31.25" style="120" bestFit="1" customWidth="1"/>
    <col min="9987" max="9994" width="9.75" style="120" customWidth="1"/>
    <col min="9995" max="9995" width="10.375" style="120" bestFit="1" customWidth="1"/>
    <col min="9996" max="9996" width="9.75" style="120" customWidth="1"/>
    <col min="9997" max="9997" width="9.75" style="120" bestFit="1" customWidth="1"/>
    <col min="9998" max="9998" width="9.75" style="120" customWidth="1"/>
    <col min="9999" max="9999" width="9.125" style="120" customWidth="1"/>
    <col min="10000" max="10000" width="14.25" style="120" bestFit="1" customWidth="1"/>
    <col min="10001" max="10001" width="5.875" style="120" bestFit="1" customWidth="1"/>
    <col min="10002" max="10002" width="7.875" style="120" bestFit="1" customWidth="1"/>
    <col min="10003" max="10240" width="8.875" style="120"/>
    <col min="10241" max="10241" width="11.625" style="120" customWidth="1"/>
    <col min="10242" max="10242" width="31.25" style="120" bestFit="1" customWidth="1"/>
    <col min="10243" max="10250" width="9.75" style="120" customWidth="1"/>
    <col min="10251" max="10251" width="10.375" style="120" bestFit="1" customWidth="1"/>
    <col min="10252" max="10252" width="9.75" style="120" customWidth="1"/>
    <col min="10253" max="10253" width="9.75" style="120" bestFit="1" customWidth="1"/>
    <col min="10254" max="10254" width="9.75" style="120" customWidth="1"/>
    <col min="10255" max="10255" width="9.125" style="120" customWidth="1"/>
    <col min="10256" max="10256" width="14.25" style="120" bestFit="1" customWidth="1"/>
    <col min="10257" max="10257" width="5.875" style="120" bestFit="1" customWidth="1"/>
    <col min="10258" max="10258" width="7.875" style="120" bestFit="1" customWidth="1"/>
    <col min="10259" max="10496" width="8.875" style="120"/>
    <col min="10497" max="10497" width="11.625" style="120" customWidth="1"/>
    <col min="10498" max="10498" width="31.25" style="120" bestFit="1" customWidth="1"/>
    <col min="10499" max="10506" width="9.75" style="120" customWidth="1"/>
    <col min="10507" max="10507" width="10.375" style="120" bestFit="1" customWidth="1"/>
    <col min="10508" max="10508" width="9.75" style="120" customWidth="1"/>
    <col min="10509" max="10509" width="9.75" style="120" bestFit="1" customWidth="1"/>
    <col min="10510" max="10510" width="9.75" style="120" customWidth="1"/>
    <col min="10511" max="10511" width="9.125" style="120" customWidth="1"/>
    <col min="10512" max="10512" width="14.25" style="120" bestFit="1" customWidth="1"/>
    <col min="10513" max="10513" width="5.875" style="120" bestFit="1" customWidth="1"/>
    <col min="10514" max="10514" width="7.875" style="120" bestFit="1" customWidth="1"/>
    <col min="10515" max="10752" width="8.875" style="120"/>
    <col min="10753" max="10753" width="11.625" style="120" customWidth="1"/>
    <col min="10754" max="10754" width="31.25" style="120" bestFit="1" customWidth="1"/>
    <col min="10755" max="10762" width="9.75" style="120" customWidth="1"/>
    <col min="10763" max="10763" width="10.375" style="120" bestFit="1" customWidth="1"/>
    <col min="10764" max="10764" width="9.75" style="120" customWidth="1"/>
    <col min="10765" max="10765" width="9.75" style="120" bestFit="1" customWidth="1"/>
    <col min="10766" max="10766" width="9.75" style="120" customWidth="1"/>
    <col min="10767" max="10767" width="9.125" style="120" customWidth="1"/>
    <col min="10768" max="10768" width="14.25" style="120" bestFit="1" customWidth="1"/>
    <col min="10769" max="10769" width="5.875" style="120" bestFit="1" customWidth="1"/>
    <col min="10770" max="10770" width="7.875" style="120" bestFit="1" customWidth="1"/>
    <col min="10771" max="11008" width="8.875" style="120"/>
    <col min="11009" max="11009" width="11.625" style="120" customWidth="1"/>
    <col min="11010" max="11010" width="31.25" style="120" bestFit="1" customWidth="1"/>
    <col min="11011" max="11018" width="9.75" style="120" customWidth="1"/>
    <col min="11019" max="11019" width="10.375" style="120" bestFit="1" customWidth="1"/>
    <col min="11020" max="11020" width="9.75" style="120" customWidth="1"/>
    <col min="11021" max="11021" width="9.75" style="120" bestFit="1" customWidth="1"/>
    <col min="11022" max="11022" width="9.75" style="120" customWidth="1"/>
    <col min="11023" max="11023" width="9.125" style="120" customWidth="1"/>
    <col min="11024" max="11024" width="14.25" style="120" bestFit="1" customWidth="1"/>
    <col min="11025" max="11025" width="5.875" style="120" bestFit="1" customWidth="1"/>
    <col min="11026" max="11026" width="7.875" style="120" bestFit="1" customWidth="1"/>
    <col min="11027" max="11264" width="8.875" style="120"/>
    <col min="11265" max="11265" width="11.625" style="120" customWidth="1"/>
    <col min="11266" max="11266" width="31.25" style="120" bestFit="1" customWidth="1"/>
    <col min="11267" max="11274" width="9.75" style="120" customWidth="1"/>
    <col min="11275" max="11275" width="10.375" style="120" bestFit="1" customWidth="1"/>
    <col min="11276" max="11276" width="9.75" style="120" customWidth="1"/>
    <col min="11277" max="11277" width="9.75" style="120" bestFit="1" customWidth="1"/>
    <col min="11278" max="11278" width="9.75" style="120" customWidth="1"/>
    <col min="11279" max="11279" width="9.125" style="120" customWidth="1"/>
    <col min="11280" max="11280" width="14.25" style="120" bestFit="1" customWidth="1"/>
    <col min="11281" max="11281" width="5.875" style="120" bestFit="1" customWidth="1"/>
    <col min="11282" max="11282" width="7.875" style="120" bestFit="1" customWidth="1"/>
    <col min="11283" max="11520" width="8.875" style="120"/>
    <col min="11521" max="11521" width="11.625" style="120" customWidth="1"/>
    <col min="11522" max="11522" width="31.25" style="120" bestFit="1" customWidth="1"/>
    <col min="11523" max="11530" width="9.75" style="120" customWidth="1"/>
    <col min="11531" max="11531" width="10.375" style="120" bestFit="1" customWidth="1"/>
    <col min="11532" max="11532" width="9.75" style="120" customWidth="1"/>
    <col min="11533" max="11533" width="9.75" style="120" bestFit="1" customWidth="1"/>
    <col min="11534" max="11534" width="9.75" style="120" customWidth="1"/>
    <col min="11535" max="11535" width="9.125" style="120" customWidth="1"/>
    <col min="11536" max="11536" width="14.25" style="120" bestFit="1" customWidth="1"/>
    <col min="11537" max="11537" width="5.875" style="120" bestFit="1" customWidth="1"/>
    <col min="11538" max="11538" width="7.875" style="120" bestFit="1" customWidth="1"/>
    <col min="11539" max="11776" width="8.875" style="120"/>
    <col min="11777" max="11777" width="11.625" style="120" customWidth="1"/>
    <col min="11778" max="11778" width="31.25" style="120" bestFit="1" customWidth="1"/>
    <col min="11779" max="11786" width="9.75" style="120" customWidth="1"/>
    <col min="11787" max="11787" width="10.375" style="120" bestFit="1" customWidth="1"/>
    <col min="11788" max="11788" width="9.75" style="120" customWidth="1"/>
    <col min="11789" max="11789" width="9.75" style="120" bestFit="1" customWidth="1"/>
    <col min="11790" max="11790" width="9.75" style="120" customWidth="1"/>
    <col min="11791" max="11791" width="9.125" style="120" customWidth="1"/>
    <col min="11792" max="11792" width="14.25" style="120" bestFit="1" customWidth="1"/>
    <col min="11793" max="11793" width="5.875" style="120" bestFit="1" customWidth="1"/>
    <col min="11794" max="11794" width="7.875" style="120" bestFit="1" customWidth="1"/>
    <col min="11795" max="12032" width="8.875" style="120"/>
    <col min="12033" max="12033" width="11.625" style="120" customWidth="1"/>
    <col min="12034" max="12034" width="31.25" style="120" bestFit="1" customWidth="1"/>
    <col min="12035" max="12042" width="9.75" style="120" customWidth="1"/>
    <col min="12043" max="12043" width="10.375" style="120" bestFit="1" customWidth="1"/>
    <col min="12044" max="12044" width="9.75" style="120" customWidth="1"/>
    <col min="12045" max="12045" width="9.75" style="120" bestFit="1" customWidth="1"/>
    <col min="12046" max="12046" width="9.75" style="120" customWidth="1"/>
    <col min="12047" max="12047" width="9.125" style="120" customWidth="1"/>
    <col min="12048" max="12048" width="14.25" style="120" bestFit="1" customWidth="1"/>
    <col min="12049" max="12049" width="5.875" style="120" bestFit="1" customWidth="1"/>
    <col min="12050" max="12050" width="7.875" style="120" bestFit="1" customWidth="1"/>
    <col min="12051" max="12288" width="8.875" style="120"/>
    <col min="12289" max="12289" width="11.625" style="120" customWidth="1"/>
    <col min="12290" max="12290" width="31.25" style="120" bestFit="1" customWidth="1"/>
    <col min="12291" max="12298" width="9.75" style="120" customWidth="1"/>
    <col min="12299" max="12299" width="10.375" style="120" bestFit="1" customWidth="1"/>
    <col min="12300" max="12300" width="9.75" style="120" customWidth="1"/>
    <col min="12301" max="12301" width="9.75" style="120" bestFit="1" customWidth="1"/>
    <col min="12302" max="12302" width="9.75" style="120" customWidth="1"/>
    <col min="12303" max="12303" width="9.125" style="120" customWidth="1"/>
    <col min="12304" max="12304" width="14.25" style="120" bestFit="1" customWidth="1"/>
    <col min="12305" max="12305" width="5.875" style="120" bestFit="1" customWidth="1"/>
    <col min="12306" max="12306" width="7.875" style="120" bestFit="1" customWidth="1"/>
    <col min="12307" max="12544" width="8.875" style="120"/>
    <col min="12545" max="12545" width="11.625" style="120" customWidth="1"/>
    <col min="12546" max="12546" width="31.25" style="120" bestFit="1" customWidth="1"/>
    <col min="12547" max="12554" width="9.75" style="120" customWidth="1"/>
    <col min="12555" max="12555" width="10.375" style="120" bestFit="1" customWidth="1"/>
    <col min="12556" max="12556" width="9.75" style="120" customWidth="1"/>
    <col min="12557" max="12557" width="9.75" style="120" bestFit="1" customWidth="1"/>
    <col min="12558" max="12558" width="9.75" style="120" customWidth="1"/>
    <col min="12559" max="12559" width="9.125" style="120" customWidth="1"/>
    <col min="12560" max="12560" width="14.25" style="120" bestFit="1" customWidth="1"/>
    <col min="12561" max="12561" width="5.875" style="120" bestFit="1" customWidth="1"/>
    <col min="12562" max="12562" width="7.875" style="120" bestFit="1" customWidth="1"/>
    <col min="12563" max="12800" width="8.875" style="120"/>
    <col min="12801" max="12801" width="11.625" style="120" customWidth="1"/>
    <col min="12802" max="12802" width="31.25" style="120" bestFit="1" customWidth="1"/>
    <col min="12803" max="12810" width="9.75" style="120" customWidth="1"/>
    <col min="12811" max="12811" width="10.375" style="120" bestFit="1" customWidth="1"/>
    <col min="12812" max="12812" width="9.75" style="120" customWidth="1"/>
    <col min="12813" max="12813" width="9.75" style="120" bestFit="1" customWidth="1"/>
    <col min="12814" max="12814" width="9.75" style="120" customWidth="1"/>
    <col min="12815" max="12815" width="9.125" style="120" customWidth="1"/>
    <col min="12816" max="12816" width="14.25" style="120" bestFit="1" customWidth="1"/>
    <col min="12817" max="12817" width="5.875" style="120" bestFit="1" customWidth="1"/>
    <col min="12818" max="12818" width="7.875" style="120" bestFit="1" customWidth="1"/>
    <col min="12819" max="13056" width="8.875" style="120"/>
    <col min="13057" max="13057" width="11.625" style="120" customWidth="1"/>
    <col min="13058" max="13058" width="31.25" style="120" bestFit="1" customWidth="1"/>
    <col min="13059" max="13066" width="9.75" style="120" customWidth="1"/>
    <col min="13067" max="13067" width="10.375" style="120" bestFit="1" customWidth="1"/>
    <col min="13068" max="13068" width="9.75" style="120" customWidth="1"/>
    <col min="13069" max="13069" width="9.75" style="120" bestFit="1" customWidth="1"/>
    <col min="13070" max="13070" width="9.75" style="120" customWidth="1"/>
    <col min="13071" max="13071" width="9.125" style="120" customWidth="1"/>
    <col min="13072" max="13072" width="14.25" style="120" bestFit="1" customWidth="1"/>
    <col min="13073" max="13073" width="5.875" style="120" bestFit="1" customWidth="1"/>
    <col min="13074" max="13074" width="7.875" style="120" bestFit="1" customWidth="1"/>
    <col min="13075" max="13312" width="8.875" style="120"/>
    <col min="13313" max="13313" width="11.625" style="120" customWidth="1"/>
    <col min="13314" max="13314" width="31.25" style="120" bestFit="1" customWidth="1"/>
    <col min="13315" max="13322" width="9.75" style="120" customWidth="1"/>
    <col min="13323" max="13323" width="10.375" style="120" bestFit="1" customWidth="1"/>
    <col min="13324" max="13324" width="9.75" style="120" customWidth="1"/>
    <col min="13325" max="13325" width="9.75" style="120" bestFit="1" customWidth="1"/>
    <col min="13326" max="13326" width="9.75" style="120" customWidth="1"/>
    <col min="13327" max="13327" width="9.125" style="120" customWidth="1"/>
    <col min="13328" max="13328" width="14.25" style="120" bestFit="1" customWidth="1"/>
    <col min="13329" max="13329" width="5.875" style="120" bestFit="1" customWidth="1"/>
    <col min="13330" max="13330" width="7.875" style="120" bestFit="1" customWidth="1"/>
    <col min="13331" max="13568" width="8.875" style="120"/>
    <col min="13569" max="13569" width="11.625" style="120" customWidth="1"/>
    <col min="13570" max="13570" width="31.25" style="120" bestFit="1" customWidth="1"/>
    <col min="13571" max="13578" width="9.75" style="120" customWidth="1"/>
    <col min="13579" max="13579" width="10.375" style="120" bestFit="1" customWidth="1"/>
    <col min="13580" max="13580" width="9.75" style="120" customWidth="1"/>
    <col min="13581" max="13581" width="9.75" style="120" bestFit="1" customWidth="1"/>
    <col min="13582" max="13582" width="9.75" style="120" customWidth="1"/>
    <col min="13583" max="13583" width="9.125" style="120" customWidth="1"/>
    <col min="13584" max="13584" width="14.25" style="120" bestFit="1" customWidth="1"/>
    <col min="13585" max="13585" width="5.875" style="120" bestFit="1" customWidth="1"/>
    <col min="13586" max="13586" width="7.875" style="120" bestFit="1" customWidth="1"/>
    <col min="13587" max="13824" width="8.875" style="120"/>
    <col min="13825" max="13825" width="11.625" style="120" customWidth="1"/>
    <col min="13826" max="13826" width="31.25" style="120" bestFit="1" customWidth="1"/>
    <col min="13827" max="13834" width="9.75" style="120" customWidth="1"/>
    <col min="13835" max="13835" width="10.375" style="120" bestFit="1" customWidth="1"/>
    <col min="13836" max="13836" width="9.75" style="120" customWidth="1"/>
    <col min="13837" max="13837" width="9.75" style="120" bestFit="1" customWidth="1"/>
    <col min="13838" max="13838" width="9.75" style="120" customWidth="1"/>
    <col min="13839" max="13839" width="9.125" style="120" customWidth="1"/>
    <col min="13840" max="13840" width="14.25" style="120" bestFit="1" customWidth="1"/>
    <col min="13841" max="13841" width="5.875" style="120" bestFit="1" customWidth="1"/>
    <col min="13842" max="13842" width="7.875" style="120" bestFit="1" customWidth="1"/>
    <col min="13843" max="14080" width="8.875" style="120"/>
    <col min="14081" max="14081" width="11.625" style="120" customWidth="1"/>
    <col min="14082" max="14082" width="31.25" style="120" bestFit="1" customWidth="1"/>
    <col min="14083" max="14090" width="9.75" style="120" customWidth="1"/>
    <col min="14091" max="14091" width="10.375" style="120" bestFit="1" customWidth="1"/>
    <col min="14092" max="14092" width="9.75" style="120" customWidth="1"/>
    <col min="14093" max="14093" width="9.75" style="120" bestFit="1" customWidth="1"/>
    <col min="14094" max="14094" width="9.75" style="120" customWidth="1"/>
    <col min="14095" max="14095" width="9.125" style="120" customWidth="1"/>
    <col min="14096" max="14096" width="14.25" style="120" bestFit="1" customWidth="1"/>
    <col min="14097" max="14097" width="5.875" style="120" bestFit="1" customWidth="1"/>
    <col min="14098" max="14098" width="7.875" style="120" bestFit="1" customWidth="1"/>
    <col min="14099" max="14336" width="8.875" style="120"/>
    <col min="14337" max="14337" width="11.625" style="120" customWidth="1"/>
    <col min="14338" max="14338" width="31.25" style="120" bestFit="1" customWidth="1"/>
    <col min="14339" max="14346" width="9.75" style="120" customWidth="1"/>
    <col min="14347" max="14347" width="10.375" style="120" bestFit="1" customWidth="1"/>
    <col min="14348" max="14348" width="9.75" style="120" customWidth="1"/>
    <col min="14349" max="14349" width="9.75" style="120" bestFit="1" customWidth="1"/>
    <col min="14350" max="14350" width="9.75" style="120" customWidth="1"/>
    <col min="14351" max="14351" width="9.125" style="120" customWidth="1"/>
    <col min="14352" max="14352" width="14.25" style="120" bestFit="1" customWidth="1"/>
    <col min="14353" max="14353" width="5.875" style="120" bestFit="1" customWidth="1"/>
    <col min="14354" max="14354" width="7.875" style="120" bestFit="1" customWidth="1"/>
    <col min="14355" max="14592" width="8.875" style="120"/>
    <col min="14593" max="14593" width="11.625" style="120" customWidth="1"/>
    <col min="14594" max="14594" width="31.25" style="120" bestFit="1" customWidth="1"/>
    <col min="14595" max="14602" width="9.75" style="120" customWidth="1"/>
    <col min="14603" max="14603" width="10.375" style="120" bestFit="1" customWidth="1"/>
    <col min="14604" max="14604" width="9.75" style="120" customWidth="1"/>
    <col min="14605" max="14605" width="9.75" style="120" bestFit="1" customWidth="1"/>
    <col min="14606" max="14606" width="9.75" style="120" customWidth="1"/>
    <col min="14607" max="14607" width="9.125" style="120" customWidth="1"/>
    <col min="14608" max="14608" width="14.25" style="120" bestFit="1" customWidth="1"/>
    <col min="14609" max="14609" width="5.875" style="120" bestFit="1" customWidth="1"/>
    <col min="14610" max="14610" width="7.875" style="120" bestFit="1" customWidth="1"/>
    <col min="14611" max="14848" width="8.875" style="120"/>
    <col min="14849" max="14849" width="11.625" style="120" customWidth="1"/>
    <col min="14850" max="14850" width="31.25" style="120" bestFit="1" customWidth="1"/>
    <col min="14851" max="14858" width="9.75" style="120" customWidth="1"/>
    <col min="14859" max="14859" width="10.375" style="120" bestFit="1" customWidth="1"/>
    <col min="14860" max="14860" width="9.75" style="120" customWidth="1"/>
    <col min="14861" max="14861" width="9.75" style="120" bestFit="1" customWidth="1"/>
    <col min="14862" max="14862" width="9.75" style="120" customWidth="1"/>
    <col min="14863" max="14863" width="9.125" style="120" customWidth="1"/>
    <col min="14864" max="14864" width="14.25" style="120" bestFit="1" customWidth="1"/>
    <col min="14865" max="14865" width="5.875" style="120" bestFit="1" customWidth="1"/>
    <col min="14866" max="14866" width="7.875" style="120" bestFit="1" customWidth="1"/>
    <col min="14867" max="15104" width="8.875" style="120"/>
    <col min="15105" max="15105" width="11.625" style="120" customWidth="1"/>
    <col min="15106" max="15106" width="31.25" style="120" bestFit="1" customWidth="1"/>
    <col min="15107" max="15114" width="9.75" style="120" customWidth="1"/>
    <col min="15115" max="15115" width="10.375" style="120" bestFit="1" customWidth="1"/>
    <col min="15116" max="15116" width="9.75" style="120" customWidth="1"/>
    <col min="15117" max="15117" width="9.75" style="120" bestFit="1" customWidth="1"/>
    <col min="15118" max="15118" width="9.75" style="120" customWidth="1"/>
    <col min="15119" max="15119" width="9.125" style="120" customWidth="1"/>
    <col min="15120" max="15120" width="14.25" style="120" bestFit="1" customWidth="1"/>
    <col min="15121" max="15121" width="5.875" style="120" bestFit="1" customWidth="1"/>
    <col min="15122" max="15122" width="7.875" style="120" bestFit="1" customWidth="1"/>
    <col min="15123" max="15360" width="8.875" style="120"/>
    <col min="15361" max="15361" width="11.625" style="120" customWidth="1"/>
    <col min="15362" max="15362" width="31.25" style="120" bestFit="1" customWidth="1"/>
    <col min="15363" max="15370" width="9.75" style="120" customWidth="1"/>
    <col min="15371" max="15371" width="10.375" style="120" bestFit="1" customWidth="1"/>
    <col min="15372" max="15372" width="9.75" style="120" customWidth="1"/>
    <col min="15373" max="15373" width="9.75" style="120" bestFit="1" customWidth="1"/>
    <col min="15374" max="15374" width="9.75" style="120" customWidth="1"/>
    <col min="15375" max="15375" width="9.125" style="120" customWidth="1"/>
    <col min="15376" max="15376" width="14.25" style="120" bestFit="1" customWidth="1"/>
    <col min="15377" max="15377" width="5.875" style="120" bestFit="1" customWidth="1"/>
    <col min="15378" max="15378" width="7.875" style="120" bestFit="1" customWidth="1"/>
    <col min="15379" max="15616" width="8.875" style="120"/>
    <col min="15617" max="15617" width="11.625" style="120" customWidth="1"/>
    <col min="15618" max="15618" width="31.25" style="120" bestFit="1" customWidth="1"/>
    <col min="15619" max="15626" width="9.75" style="120" customWidth="1"/>
    <col min="15627" max="15627" width="10.375" style="120" bestFit="1" customWidth="1"/>
    <col min="15628" max="15628" width="9.75" style="120" customWidth="1"/>
    <col min="15629" max="15629" width="9.75" style="120" bestFit="1" customWidth="1"/>
    <col min="15630" max="15630" width="9.75" style="120" customWidth="1"/>
    <col min="15631" max="15631" width="9.125" style="120" customWidth="1"/>
    <col min="15632" max="15632" width="14.25" style="120" bestFit="1" customWidth="1"/>
    <col min="15633" max="15633" width="5.875" style="120" bestFit="1" customWidth="1"/>
    <col min="15634" max="15634" width="7.875" style="120" bestFit="1" customWidth="1"/>
    <col min="15635" max="15872" width="8.875" style="120"/>
    <col min="15873" max="15873" width="11.625" style="120" customWidth="1"/>
    <col min="15874" max="15874" width="31.25" style="120" bestFit="1" customWidth="1"/>
    <col min="15875" max="15882" width="9.75" style="120" customWidth="1"/>
    <col min="15883" max="15883" width="10.375" style="120" bestFit="1" customWidth="1"/>
    <col min="15884" max="15884" width="9.75" style="120" customWidth="1"/>
    <col min="15885" max="15885" width="9.75" style="120" bestFit="1" customWidth="1"/>
    <col min="15886" max="15886" width="9.75" style="120" customWidth="1"/>
    <col min="15887" max="15887" width="9.125" style="120" customWidth="1"/>
    <col min="15888" max="15888" width="14.25" style="120" bestFit="1" customWidth="1"/>
    <col min="15889" max="15889" width="5.875" style="120" bestFit="1" customWidth="1"/>
    <col min="15890" max="15890" width="7.875" style="120" bestFit="1" customWidth="1"/>
    <col min="15891" max="16128" width="8.875" style="120"/>
    <col min="16129" max="16129" width="11.625" style="120" customWidth="1"/>
    <col min="16130" max="16130" width="31.25" style="120" bestFit="1" customWidth="1"/>
    <col min="16131" max="16138" width="9.75" style="120" customWidth="1"/>
    <col min="16139" max="16139" width="10.375" style="120" bestFit="1" customWidth="1"/>
    <col min="16140" max="16140" width="9.75" style="120" customWidth="1"/>
    <col min="16141" max="16141" width="9.75" style="120" bestFit="1" customWidth="1"/>
    <col min="16142" max="16142" width="9.75" style="120" customWidth="1"/>
    <col min="16143" max="16143" width="9.125" style="120" customWidth="1"/>
    <col min="16144" max="16144" width="14.25" style="120" bestFit="1" customWidth="1"/>
    <col min="16145" max="16145" width="5.875" style="120" bestFit="1" customWidth="1"/>
    <col min="16146" max="16146" width="7.875" style="120" bestFit="1" customWidth="1"/>
    <col min="16147" max="16384" width="8.875" style="120"/>
  </cols>
  <sheetData>
    <row r="1" spans="1:19" s="118" customFormat="1" x14ac:dyDescent="0.35"/>
    <row r="2" spans="1:19" x14ac:dyDescent="0.35">
      <c r="A2" s="120"/>
      <c r="B2" s="377" t="s">
        <v>168</v>
      </c>
      <c r="C2" s="377"/>
      <c r="E2" s="378"/>
      <c r="H2" s="378"/>
      <c r="I2" s="118"/>
      <c r="J2" s="118"/>
      <c r="N2" s="118"/>
      <c r="O2" s="118"/>
      <c r="P2" s="379"/>
      <c r="Q2" s="379"/>
      <c r="R2" s="118"/>
      <c r="S2" s="118"/>
    </row>
    <row r="3" spans="1:19" x14ac:dyDescent="0.35">
      <c r="A3" s="120"/>
      <c r="C3" s="118"/>
      <c r="E3" s="118"/>
      <c r="H3" s="292"/>
      <c r="I3" s="118"/>
      <c r="J3" s="118"/>
      <c r="N3" s="118"/>
      <c r="O3" s="118"/>
      <c r="P3" s="118"/>
      <c r="R3" s="118"/>
      <c r="S3" s="118"/>
    </row>
    <row r="4" spans="1:19" x14ac:dyDescent="0.35">
      <c r="A4" s="120"/>
      <c r="B4" s="380" t="s">
        <v>7</v>
      </c>
      <c r="C4" s="380" t="s">
        <v>8</v>
      </c>
      <c r="E4" s="118"/>
      <c r="H4" s="292"/>
      <c r="I4" s="118"/>
      <c r="J4" s="118"/>
      <c r="N4" s="118"/>
      <c r="O4" s="118"/>
      <c r="P4" s="118"/>
      <c r="R4" s="118"/>
      <c r="S4" s="118"/>
    </row>
    <row r="5" spans="1:19" x14ac:dyDescent="0.35">
      <c r="A5" s="120"/>
      <c r="B5" s="118" t="str">
        <f>IF(ISBLANK(Directions!C6), "Owner", Directions!C6)</f>
        <v>Owner</v>
      </c>
      <c r="C5" s="118" t="str">
        <f>IF(ISBLANK(Directions!D6), "Company 1", Directions!D6)</f>
        <v>Company 1</v>
      </c>
      <c r="E5" s="118"/>
      <c r="H5" s="292"/>
      <c r="I5" s="118"/>
      <c r="J5" s="118"/>
      <c r="N5" s="118"/>
      <c r="O5" s="118"/>
      <c r="P5" s="118"/>
      <c r="R5" s="118"/>
      <c r="S5" s="118"/>
    </row>
    <row r="7" spans="1:19" ht="16.5" thickBot="1" x14ac:dyDescent="0.4">
      <c r="A7" s="120"/>
      <c r="B7" s="129"/>
      <c r="C7" s="129" t="str">
        <f>'3a-SalesForecastYear1'!C16</f>
        <v>Month 1</v>
      </c>
      <c r="D7" s="129" t="str">
        <f>'3a-SalesForecastYear1'!D16</f>
        <v>Month 2</v>
      </c>
      <c r="E7" s="129" t="str">
        <f>'3a-SalesForecastYear1'!E16</f>
        <v>Month 3</v>
      </c>
      <c r="F7" s="129" t="str">
        <f>'3a-SalesForecastYear1'!F16</f>
        <v>Month 4</v>
      </c>
      <c r="G7" s="129" t="str">
        <f>'3a-SalesForecastYear1'!G16</f>
        <v>Month 5</v>
      </c>
      <c r="H7" s="129" t="str">
        <f>'3a-SalesForecastYear1'!H16</f>
        <v>Month 6</v>
      </c>
      <c r="I7" s="129" t="str">
        <f>'3a-SalesForecastYear1'!I16</f>
        <v>Month 7</v>
      </c>
      <c r="J7" s="129" t="str">
        <f>'3a-SalesForecastYear1'!J16</f>
        <v>Month 8</v>
      </c>
      <c r="K7" s="129" t="str">
        <f>'3a-SalesForecastYear1'!K16</f>
        <v>Month 9</v>
      </c>
      <c r="L7" s="129" t="str">
        <f>'3a-SalesForecastYear1'!L16</f>
        <v>Month 10</v>
      </c>
      <c r="M7" s="129" t="str">
        <f>'3a-SalesForecastYear1'!M16</f>
        <v>Month 11</v>
      </c>
      <c r="N7" s="129" t="str">
        <f>'3a-SalesForecastYear1'!N16</f>
        <v>Month 12</v>
      </c>
      <c r="O7" s="129" t="s">
        <v>38</v>
      </c>
      <c r="P7" s="118"/>
      <c r="Q7" s="120"/>
    </row>
    <row r="8" spans="1:19" ht="16.5" thickTop="1" x14ac:dyDescent="0.35">
      <c r="A8" s="120"/>
      <c r="B8" s="381" t="s">
        <v>169</v>
      </c>
      <c r="C8" s="382">
        <f>Working_Capital</f>
        <v>0</v>
      </c>
      <c r="D8" s="382">
        <f t="shared" ref="D8:N8" si="0">C33</f>
        <v>0</v>
      </c>
      <c r="E8" s="382">
        <f t="shared" si="0"/>
        <v>0</v>
      </c>
      <c r="F8" s="382">
        <f t="shared" si="0"/>
        <v>0</v>
      </c>
      <c r="G8" s="382">
        <f t="shared" si="0"/>
        <v>0</v>
      </c>
      <c r="H8" s="382">
        <f t="shared" si="0"/>
        <v>0</v>
      </c>
      <c r="I8" s="382">
        <f t="shared" si="0"/>
        <v>0</v>
      </c>
      <c r="J8" s="382">
        <f t="shared" si="0"/>
        <v>0</v>
      </c>
      <c r="K8" s="382">
        <f t="shared" si="0"/>
        <v>0</v>
      </c>
      <c r="L8" s="382">
        <f t="shared" si="0"/>
        <v>0</v>
      </c>
      <c r="M8" s="382">
        <f t="shared" si="0"/>
        <v>0</v>
      </c>
      <c r="N8" s="382">
        <f t="shared" si="0"/>
        <v>0</v>
      </c>
      <c r="O8" s="383"/>
      <c r="P8" s="118"/>
      <c r="Q8" s="120"/>
    </row>
    <row r="9" spans="1:19" x14ac:dyDescent="0.35">
      <c r="A9" s="120"/>
      <c r="B9" s="384" t="s">
        <v>170</v>
      </c>
      <c r="C9" s="385"/>
      <c r="D9" s="385"/>
      <c r="E9" s="385"/>
      <c r="F9" s="385"/>
      <c r="G9" s="385"/>
      <c r="H9" s="385"/>
      <c r="I9" s="385"/>
      <c r="J9" s="385"/>
      <c r="K9" s="385"/>
      <c r="L9" s="385"/>
      <c r="M9" s="385"/>
      <c r="N9" s="385"/>
      <c r="O9" s="385"/>
      <c r="P9" s="118"/>
      <c r="Q9" s="120"/>
    </row>
    <row r="10" spans="1:19" x14ac:dyDescent="0.35">
      <c r="A10" s="120"/>
      <c r="B10" s="386" t="s">
        <v>171</v>
      </c>
      <c r="C10" s="387">
        <f>'3a-SalesForecastYear1'!C53*'4-AdditionalInputs'!$C$9</f>
        <v>0</v>
      </c>
      <c r="D10" s="186">
        <f>'3a-SalesForecastYear1'!D53*'4-AdditionalInputs'!$C$9</f>
        <v>0</v>
      </c>
      <c r="E10" s="186">
        <f>'3a-SalesForecastYear1'!E53*'4-AdditionalInputs'!$C$9</f>
        <v>0</v>
      </c>
      <c r="F10" s="186">
        <f>'3a-SalesForecastYear1'!F53*'4-AdditionalInputs'!$C$9</f>
        <v>0</v>
      </c>
      <c r="G10" s="186">
        <f>'3a-SalesForecastYear1'!G53*'4-AdditionalInputs'!$C$9</f>
        <v>0</v>
      </c>
      <c r="H10" s="186">
        <f>'3a-SalesForecastYear1'!H53*'4-AdditionalInputs'!$C$9</f>
        <v>0</v>
      </c>
      <c r="I10" s="186">
        <f>'3a-SalesForecastYear1'!I53*'4-AdditionalInputs'!$C$9</f>
        <v>0</v>
      </c>
      <c r="J10" s="186">
        <f>'3a-SalesForecastYear1'!J53*'4-AdditionalInputs'!$C$9</f>
        <v>0</v>
      </c>
      <c r="K10" s="186">
        <f>'3a-SalesForecastYear1'!K53*'4-AdditionalInputs'!$C$9</f>
        <v>0</v>
      </c>
      <c r="L10" s="186">
        <f>'3a-SalesForecastYear1'!L53*'4-AdditionalInputs'!$C$9</f>
        <v>0</v>
      </c>
      <c r="M10" s="186">
        <f>'3a-SalesForecastYear1'!M53*'4-AdditionalInputs'!$C$9</f>
        <v>0</v>
      </c>
      <c r="N10" s="186">
        <f>'3a-SalesForecastYear1'!N53*'4-AdditionalInputs'!$C$9</f>
        <v>0</v>
      </c>
      <c r="O10" s="388">
        <f>SUM(C10:N10)</f>
        <v>0</v>
      </c>
      <c r="P10" s="118"/>
      <c r="Q10" s="120"/>
    </row>
    <row r="11" spans="1:19" x14ac:dyDescent="0.35">
      <c r="A11" s="120"/>
      <c r="B11" s="386" t="s">
        <v>172</v>
      </c>
      <c r="C11" s="186">
        <v>0</v>
      </c>
      <c r="D11" s="186">
        <f>('3a-SalesForecastYear1'!C53*'4-AdditionalInputs'!$C$10)</f>
        <v>0</v>
      </c>
      <c r="E11" s="186">
        <f>('3a-SalesForecastYear1'!D53*'4-AdditionalInputs'!$C$10)+('3a-SalesForecastYear1'!C53*'4-AdditionalInputs'!$C$11)</f>
        <v>0</v>
      </c>
      <c r="F11" s="186">
        <f>('3a-SalesForecastYear1'!E53*'4-AdditionalInputs'!$C$10)+('3a-SalesForecastYear1'!D53*'4-AdditionalInputs'!$C$11)</f>
        <v>0</v>
      </c>
      <c r="G11" s="186">
        <f>('3a-SalesForecastYear1'!F53*'4-AdditionalInputs'!$C$10)+('3a-SalesForecastYear1'!E53*'4-AdditionalInputs'!$C$11)</f>
        <v>0</v>
      </c>
      <c r="H11" s="186">
        <f>('3a-SalesForecastYear1'!G53*'4-AdditionalInputs'!$C$10)+('3a-SalesForecastYear1'!F53*'4-AdditionalInputs'!$C$11)</f>
        <v>0</v>
      </c>
      <c r="I11" s="186">
        <f>('3a-SalesForecastYear1'!H53*'4-AdditionalInputs'!$C$10)+('3a-SalesForecastYear1'!G53*'4-AdditionalInputs'!$C$11)</f>
        <v>0</v>
      </c>
      <c r="J11" s="186">
        <f>('3a-SalesForecastYear1'!I53*'4-AdditionalInputs'!$C$10)+('3a-SalesForecastYear1'!H53*'4-AdditionalInputs'!$C$11)</f>
        <v>0</v>
      </c>
      <c r="K11" s="186">
        <f>('3a-SalesForecastYear1'!J53*'4-AdditionalInputs'!$C$10)+('3a-SalesForecastYear1'!I53*'4-AdditionalInputs'!$C$11)</f>
        <v>0</v>
      </c>
      <c r="L11" s="186">
        <f>('3a-SalesForecastYear1'!K53*'4-AdditionalInputs'!$C$10)+('3a-SalesForecastYear1'!J53*'4-AdditionalInputs'!$C$11)</f>
        <v>0</v>
      </c>
      <c r="M11" s="186">
        <f>('3a-SalesForecastYear1'!L53*'4-AdditionalInputs'!$C$10)+('3a-SalesForecastYear1'!K53*'4-AdditionalInputs'!$C$11)</f>
        <v>0</v>
      </c>
      <c r="N11" s="186">
        <f>('3a-SalesForecastYear1'!M53*'4-AdditionalInputs'!$C$10)+('3a-SalesForecastYear1'!L53*'4-AdditionalInputs'!$C$11)</f>
        <v>0</v>
      </c>
      <c r="O11" s="388">
        <f>SUM(C11:N11)</f>
        <v>0</v>
      </c>
      <c r="P11" s="118"/>
      <c r="Q11" s="120"/>
    </row>
    <row r="12" spans="1:19" x14ac:dyDescent="0.35">
      <c r="A12" s="120"/>
      <c r="B12" s="145" t="s">
        <v>173</v>
      </c>
      <c r="C12" s="189">
        <f>SUM(C10:C11)</f>
        <v>0</v>
      </c>
      <c r="D12" s="189">
        <f t="shared" ref="D12:N12" si="1">SUM(D10:D11)</f>
        <v>0</v>
      </c>
      <c r="E12" s="189">
        <f t="shared" si="1"/>
        <v>0</v>
      </c>
      <c r="F12" s="189">
        <f t="shared" si="1"/>
        <v>0</v>
      </c>
      <c r="G12" s="189">
        <f t="shared" si="1"/>
        <v>0</v>
      </c>
      <c r="H12" s="189">
        <f t="shared" si="1"/>
        <v>0</v>
      </c>
      <c r="I12" s="189">
        <f t="shared" si="1"/>
        <v>0</v>
      </c>
      <c r="J12" s="189">
        <f t="shared" si="1"/>
        <v>0</v>
      </c>
      <c r="K12" s="189">
        <f t="shared" si="1"/>
        <v>0</v>
      </c>
      <c r="L12" s="189">
        <f t="shared" si="1"/>
        <v>0</v>
      </c>
      <c r="M12" s="189">
        <f t="shared" si="1"/>
        <v>0</v>
      </c>
      <c r="N12" s="189">
        <f t="shared" si="1"/>
        <v>0</v>
      </c>
      <c r="O12" s="388">
        <f>SUM(O10:O11)</f>
        <v>0</v>
      </c>
      <c r="Q12" s="120"/>
    </row>
    <row r="13" spans="1:19" x14ac:dyDescent="0.35">
      <c r="A13" s="120"/>
      <c r="B13" s="145"/>
      <c r="C13" s="186"/>
      <c r="D13" s="389"/>
      <c r="E13" s="389"/>
      <c r="F13" s="389"/>
      <c r="G13" s="389"/>
      <c r="H13" s="389"/>
      <c r="I13" s="389"/>
      <c r="J13" s="389"/>
      <c r="K13" s="389"/>
      <c r="L13" s="389"/>
      <c r="M13" s="389"/>
      <c r="N13" s="389"/>
      <c r="O13" s="388"/>
      <c r="Q13" s="120"/>
    </row>
    <row r="14" spans="1:19" x14ac:dyDescent="0.35">
      <c r="A14" s="120"/>
      <c r="B14" s="384" t="s">
        <v>174</v>
      </c>
      <c r="C14" s="186"/>
      <c r="D14" s="389"/>
      <c r="E14" s="389"/>
      <c r="F14" s="389"/>
      <c r="G14" s="389"/>
      <c r="H14" s="389"/>
      <c r="I14" s="389"/>
      <c r="J14" s="389"/>
      <c r="K14" s="389"/>
      <c r="L14" s="389"/>
      <c r="M14" s="389"/>
      <c r="N14" s="389"/>
      <c r="O14" s="388"/>
      <c r="Q14" s="120"/>
    </row>
    <row r="15" spans="1:19" x14ac:dyDescent="0.35">
      <c r="A15" s="120"/>
      <c r="B15" s="386" t="s">
        <v>175</v>
      </c>
      <c r="C15" s="186"/>
      <c r="D15" s="389"/>
      <c r="E15" s="389"/>
      <c r="F15" s="389"/>
      <c r="G15" s="389"/>
      <c r="H15" s="389"/>
      <c r="I15" s="389"/>
      <c r="J15" s="389"/>
      <c r="K15" s="389"/>
      <c r="L15" s="389"/>
      <c r="M15" s="389"/>
      <c r="N15" s="389"/>
      <c r="O15" s="388"/>
      <c r="Q15" s="120"/>
    </row>
    <row r="16" spans="1:19" x14ac:dyDescent="0.35">
      <c r="A16" s="120"/>
      <c r="B16" s="390" t="s">
        <v>176</v>
      </c>
      <c r="C16" s="186">
        <v>0</v>
      </c>
      <c r="D16" s="186">
        <f>'4-AdditionalInputs'!E35</f>
        <v>0</v>
      </c>
      <c r="E16" s="186">
        <f>'4-AdditionalInputs'!F35</f>
        <v>0</v>
      </c>
      <c r="F16" s="186">
        <f>'4-AdditionalInputs'!G35</f>
        <v>0</v>
      </c>
      <c r="G16" s="186">
        <f>'4-AdditionalInputs'!H35</f>
        <v>0</v>
      </c>
      <c r="H16" s="186">
        <f>'4-AdditionalInputs'!I35</f>
        <v>0</v>
      </c>
      <c r="I16" s="186">
        <f>'4-AdditionalInputs'!J35</f>
        <v>0</v>
      </c>
      <c r="J16" s="186">
        <f>'4-AdditionalInputs'!K35</f>
        <v>0</v>
      </c>
      <c r="K16" s="186">
        <f>'4-AdditionalInputs'!L35</f>
        <v>0</v>
      </c>
      <c r="L16" s="186">
        <f>'4-AdditionalInputs'!M35</f>
        <v>0</v>
      </c>
      <c r="M16" s="186">
        <f>'4-AdditionalInputs'!N35</f>
        <v>0</v>
      </c>
      <c r="N16" s="186">
        <f>'4-AdditionalInputs'!O35</f>
        <v>0</v>
      </c>
      <c r="O16" s="388">
        <f>SUM(C16:N16)</f>
        <v>0</v>
      </c>
      <c r="Q16" s="120"/>
    </row>
    <row r="17" spans="1:17" x14ac:dyDescent="0.35">
      <c r="A17" s="120"/>
      <c r="B17" s="390" t="s">
        <v>177</v>
      </c>
      <c r="C17" s="349"/>
      <c r="D17" s="349"/>
      <c r="E17" s="349"/>
      <c r="F17" s="349"/>
      <c r="G17" s="349"/>
      <c r="H17" s="349"/>
      <c r="I17" s="349"/>
      <c r="J17" s="349"/>
      <c r="K17" s="349"/>
      <c r="L17" s="349"/>
      <c r="M17" s="349"/>
      <c r="N17" s="349"/>
      <c r="O17" s="388">
        <f>SUM(C17:N17)</f>
        <v>0</v>
      </c>
      <c r="Q17" s="120"/>
    </row>
    <row r="18" spans="1:17" x14ac:dyDescent="0.35">
      <c r="A18" s="120"/>
      <c r="B18" s="390" t="s">
        <v>178</v>
      </c>
      <c r="C18" s="186">
        <f>'3a-SalesForecastYear1'!C54*'4-AdditionalInputs'!$C$17</f>
        <v>0</v>
      </c>
      <c r="D18" s="186">
        <f>('3a-SalesForecastYear1'!D54*'4-AdditionalInputs'!$C$17)+('3a-SalesForecastYear1'!C54*'4-AdditionalInputs'!$C$18)</f>
        <v>0</v>
      </c>
      <c r="E18" s="186">
        <f>('3a-SalesForecastYear1'!E54*'4-AdditionalInputs'!$C$17)+('3a-SalesForecastYear1'!D54*'4-AdditionalInputs'!$C$18)+('3a-SalesForecastYear1'!C54*'4-AdditionalInputs'!$C$19)</f>
        <v>0</v>
      </c>
      <c r="F18" s="186">
        <f>('3a-SalesForecastYear1'!F54*'4-AdditionalInputs'!$C$17)+('3a-SalesForecastYear1'!E54*'4-AdditionalInputs'!$C$18)+('3a-SalesForecastYear1'!D54*'4-AdditionalInputs'!$C$19)</f>
        <v>0</v>
      </c>
      <c r="G18" s="186">
        <f>('3a-SalesForecastYear1'!G54*'4-AdditionalInputs'!$C$17)+('3a-SalesForecastYear1'!F54*'4-AdditionalInputs'!$C$18)+('3a-SalesForecastYear1'!E54*'4-AdditionalInputs'!$C$19)</f>
        <v>0</v>
      </c>
      <c r="H18" s="186">
        <f>('3a-SalesForecastYear1'!H54*'4-AdditionalInputs'!$C$17)+('3a-SalesForecastYear1'!G54*'4-AdditionalInputs'!$C$18)+('3a-SalesForecastYear1'!F54*'4-AdditionalInputs'!$C$19)</f>
        <v>0</v>
      </c>
      <c r="I18" s="186">
        <f>('3a-SalesForecastYear1'!I54*'4-AdditionalInputs'!$C$17)+('3a-SalesForecastYear1'!H54*'4-AdditionalInputs'!$C$18)+('3a-SalesForecastYear1'!G54*'4-AdditionalInputs'!$C$19)</f>
        <v>0</v>
      </c>
      <c r="J18" s="186">
        <f>('3a-SalesForecastYear1'!J54*'4-AdditionalInputs'!$C$17)+('3a-SalesForecastYear1'!I54*'4-AdditionalInputs'!$C$18)+('3a-SalesForecastYear1'!H54*'4-AdditionalInputs'!$C$19)</f>
        <v>0</v>
      </c>
      <c r="K18" s="186">
        <f>('3a-SalesForecastYear1'!K54*'4-AdditionalInputs'!$C$17)+('3a-SalesForecastYear1'!J54*'4-AdditionalInputs'!$C$18)+('3a-SalesForecastYear1'!I54*'4-AdditionalInputs'!$C$19)</f>
        <v>0</v>
      </c>
      <c r="L18" s="186">
        <f>('3a-SalesForecastYear1'!L54*'4-AdditionalInputs'!$C$17)+('3a-SalesForecastYear1'!K54*'4-AdditionalInputs'!$C$18)+('3a-SalesForecastYear1'!J54*'4-AdditionalInputs'!$C$19)</f>
        <v>0</v>
      </c>
      <c r="M18" s="186">
        <f>('3a-SalesForecastYear1'!M54*'4-AdditionalInputs'!$C$17)+('3a-SalesForecastYear1'!L54*'4-AdditionalInputs'!$C$18)+('3a-SalesForecastYear1'!K54*'4-AdditionalInputs'!$C$19)</f>
        <v>0</v>
      </c>
      <c r="N18" s="186">
        <f>('3a-SalesForecastYear1'!N54*'4-AdditionalInputs'!$C$17)+('3a-SalesForecastYear1'!M54*'4-AdditionalInputs'!$C$18)+('3a-SalesForecastYear1'!L54*'4-AdditionalInputs'!$C$19)</f>
        <v>0</v>
      </c>
      <c r="O18" s="388">
        <f>SUM(C18:N18)</f>
        <v>0</v>
      </c>
      <c r="Q18" s="120"/>
    </row>
    <row r="19" spans="1:17" x14ac:dyDescent="0.35">
      <c r="A19" s="120"/>
      <c r="B19" s="386" t="s">
        <v>179</v>
      </c>
      <c r="C19" s="186"/>
      <c r="D19" s="186"/>
      <c r="E19" s="186"/>
      <c r="F19" s="186"/>
      <c r="G19" s="186"/>
      <c r="H19" s="186"/>
      <c r="I19" s="186"/>
      <c r="J19" s="186"/>
      <c r="K19" s="186"/>
      <c r="L19" s="186"/>
      <c r="M19" s="186"/>
      <c r="N19" s="186"/>
      <c r="O19" s="388"/>
      <c r="Q19" s="120"/>
    </row>
    <row r="20" spans="1:17" x14ac:dyDescent="0.35">
      <c r="A20" s="120"/>
      <c r="B20" s="390" t="s">
        <v>180</v>
      </c>
      <c r="C20" s="186">
        <f>'5a-OpExYear1'!C25</f>
        <v>0</v>
      </c>
      <c r="D20" s="186">
        <f>'5a-OpExYear1'!D25</f>
        <v>0</v>
      </c>
      <c r="E20" s="186">
        <f>'5a-OpExYear1'!E25</f>
        <v>0</v>
      </c>
      <c r="F20" s="186">
        <f>'5a-OpExYear1'!F25</f>
        <v>0</v>
      </c>
      <c r="G20" s="186">
        <f>'5a-OpExYear1'!G25</f>
        <v>0</v>
      </c>
      <c r="H20" s="186">
        <f>'5a-OpExYear1'!H25</f>
        <v>0</v>
      </c>
      <c r="I20" s="186">
        <f>'5a-OpExYear1'!I25</f>
        <v>0</v>
      </c>
      <c r="J20" s="186">
        <f>'5a-OpExYear1'!J25</f>
        <v>0</v>
      </c>
      <c r="K20" s="186">
        <f>'5a-OpExYear1'!K25</f>
        <v>0</v>
      </c>
      <c r="L20" s="186">
        <f>'5a-OpExYear1'!L25</f>
        <v>0</v>
      </c>
      <c r="M20" s="186">
        <f>'5a-OpExYear1'!M25</f>
        <v>0</v>
      </c>
      <c r="N20" s="186">
        <f>'5a-OpExYear1'!N25</f>
        <v>0</v>
      </c>
      <c r="O20" s="388">
        <f>SUM(C20:N20)</f>
        <v>0</v>
      </c>
      <c r="Q20" s="120"/>
    </row>
    <row r="21" spans="1:17" x14ac:dyDescent="0.35">
      <c r="A21" s="120"/>
      <c r="B21" s="390" t="s">
        <v>181</v>
      </c>
      <c r="C21" s="186">
        <f>'2a-PayrollYear1'!F25</f>
        <v>0</v>
      </c>
      <c r="D21" s="186">
        <f>'2a-PayrollYear1'!G25</f>
        <v>0</v>
      </c>
      <c r="E21" s="186">
        <f>'2a-PayrollYear1'!H25</f>
        <v>0</v>
      </c>
      <c r="F21" s="186">
        <f>'2a-PayrollYear1'!I25</f>
        <v>0</v>
      </c>
      <c r="G21" s="186">
        <f>'2a-PayrollYear1'!J25</f>
        <v>0</v>
      </c>
      <c r="H21" s="186">
        <f>'2a-PayrollYear1'!K25</f>
        <v>0</v>
      </c>
      <c r="I21" s="186">
        <f>'2a-PayrollYear1'!L25</f>
        <v>0</v>
      </c>
      <c r="J21" s="186">
        <f>'2a-PayrollYear1'!M25</f>
        <v>0</v>
      </c>
      <c r="K21" s="186">
        <f>'2a-PayrollYear1'!N25</f>
        <v>0</v>
      </c>
      <c r="L21" s="186">
        <f>'2a-PayrollYear1'!O25</f>
        <v>0</v>
      </c>
      <c r="M21" s="186">
        <f>'2a-PayrollYear1'!P25</f>
        <v>0</v>
      </c>
      <c r="N21" s="186">
        <f>'2a-PayrollYear1'!Q25</f>
        <v>0</v>
      </c>
      <c r="O21" s="388">
        <f>SUM(C21:N21)</f>
        <v>0</v>
      </c>
      <c r="Q21" s="120"/>
    </row>
    <row r="22" spans="1:17" x14ac:dyDescent="0.35">
      <c r="A22" s="120"/>
      <c r="B22" s="390" t="s">
        <v>182</v>
      </c>
      <c r="C22" s="186">
        <v>0</v>
      </c>
      <c r="D22" s="186">
        <v>0</v>
      </c>
      <c r="E22" s="186">
        <f>SUM('7a-IncomeStatementYear1'!C59:E59)</f>
        <v>0</v>
      </c>
      <c r="F22" s="186">
        <v>0</v>
      </c>
      <c r="G22" s="186">
        <v>0</v>
      </c>
      <c r="H22" s="186">
        <f>SUM('7a-IncomeStatementYear1'!F59:H59)</f>
        <v>0</v>
      </c>
      <c r="I22" s="186">
        <v>0</v>
      </c>
      <c r="J22" s="186">
        <v>0</v>
      </c>
      <c r="K22" s="186">
        <f>SUM('7a-IncomeStatementYear1'!I59:K59)</f>
        <v>0</v>
      </c>
      <c r="L22" s="186">
        <v>0</v>
      </c>
      <c r="M22" s="186">
        <v>0</v>
      </c>
      <c r="N22" s="186">
        <f>SUM('7a-IncomeStatementYear1'!L59:N59)</f>
        <v>0</v>
      </c>
      <c r="O22" s="388">
        <f>SUM(C22:N22)</f>
        <v>0</v>
      </c>
      <c r="Q22" s="120"/>
    </row>
    <row r="23" spans="1:17" x14ac:dyDescent="0.35">
      <c r="A23" s="120"/>
      <c r="B23" s="386" t="s">
        <v>183</v>
      </c>
      <c r="C23" s="186"/>
      <c r="D23" s="389"/>
      <c r="E23" s="389"/>
      <c r="F23" s="389"/>
      <c r="G23" s="389"/>
      <c r="H23" s="389"/>
      <c r="I23" s="389"/>
      <c r="J23" s="389"/>
      <c r="K23" s="389"/>
      <c r="L23" s="389"/>
      <c r="M23" s="389"/>
      <c r="N23" s="389"/>
      <c r="O23" s="388"/>
      <c r="Q23" s="120"/>
    </row>
    <row r="24" spans="1:17" x14ac:dyDescent="0.35">
      <c r="A24" s="120"/>
      <c r="B24" s="390" t="s">
        <v>184</v>
      </c>
      <c r="C24" s="389">
        <f>SUM('Amortization&amp;Depreciation'!C15:C16)+SUM('Amortization&amp;Depreciation'!C35:C36)+SUM('Amortization&amp;Depreciation'!C55:C56)+SUM('Amortization&amp;Depreciation'!C75:C76)+SUM('Amortization&amp;Depreciation'!C95:C96)</f>
        <v>0</v>
      </c>
      <c r="D24" s="389">
        <f>SUM('Amortization&amp;Depreciation'!D15:D16)+SUM('Amortization&amp;Depreciation'!D35:D36)+SUM('Amortization&amp;Depreciation'!D55:D56)+SUM('Amortization&amp;Depreciation'!D75:D76)+SUM('Amortization&amp;Depreciation'!D95:D96)</f>
        <v>0</v>
      </c>
      <c r="E24" s="389">
        <f>SUM('Amortization&amp;Depreciation'!E15:E16)+SUM('Amortization&amp;Depreciation'!E35:E36)+SUM('Amortization&amp;Depreciation'!E55:E56)+SUM('Amortization&amp;Depreciation'!E75:E76)+SUM('Amortization&amp;Depreciation'!E95:E96)</f>
        <v>0</v>
      </c>
      <c r="F24" s="389">
        <f>SUM('Amortization&amp;Depreciation'!F15:F16)+SUM('Amortization&amp;Depreciation'!F35:F36)+SUM('Amortization&amp;Depreciation'!F55:F56)+SUM('Amortization&amp;Depreciation'!F75:F76)+SUM('Amortization&amp;Depreciation'!F95:F96)</f>
        <v>0</v>
      </c>
      <c r="G24" s="389">
        <f>SUM('Amortization&amp;Depreciation'!G15:G16)+SUM('Amortization&amp;Depreciation'!G35:G36)+SUM('Amortization&amp;Depreciation'!G55:G56)+SUM('Amortization&amp;Depreciation'!G75:G76)+SUM('Amortization&amp;Depreciation'!G95:G96)</f>
        <v>0</v>
      </c>
      <c r="H24" s="389">
        <f>SUM('Amortization&amp;Depreciation'!H15:H16)+SUM('Amortization&amp;Depreciation'!H35:H36)+SUM('Amortization&amp;Depreciation'!H55:H56)+SUM('Amortization&amp;Depreciation'!H75:H76)+SUM('Amortization&amp;Depreciation'!H95:H96)</f>
        <v>0</v>
      </c>
      <c r="I24" s="389">
        <f>SUM('Amortization&amp;Depreciation'!I15:I16)+SUM('Amortization&amp;Depreciation'!I35:I36)+SUM('Amortization&amp;Depreciation'!I55:I56)+SUM('Amortization&amp;Depreciation'!I75:I76)+SUM('Amortization&amp;Depreciation'!I95:I96)</f>
        <v>0</v>
      </c>
      <c r="J24" s="389">
        <f>SUM('Amortization&amp;Depreciation'!J15:J16)+SUM('Amortization&amp;Depreciation'!J35:J36)+SUM('Amortization&amp;Depreciation'!J55:J56)+SUM('Amortization&amp;Depreciation'!J75:J76)+SUM('Amortization&amp;Depreciation'!J95:J96)</f>
        <v>0</v>
      </c>
      <c r="K24" s="389">
        <f>SUM('Amortization&amp;Depreciation'!K15:K16)+SUM('Amortization&amp;Depreciation'!K35:K36)+SUM('Amortization&amp;Depreciation'!K55:K56)+SUM('Amortization&amp;Depreciation'!K75:K76)+SUM('Amortization&amp;Depreciation'!K95:K96)</f>
        <v>0</v>
      </c>
      <c r="L24" s="389">
        <f>SUM('Amortization&amp;Depreciation'!L15:L16)+SUM('Amortization&amp;Depreciation'!L35:L36)+SUM('Amortization&amp;Depreciation'!L55:L56)+SUM('Amortization&amp;Depreciation'!L75:L76)+SUM('Amortization&amp;Depreciation'!L95:L96)</f>
        <v>0</v>
      </c>
      <c r="M24" s="389">
        <f>SUM('Amortization&amp;Depreciation'!M15:M16)+SUM('Amortization&amp;Depreciation'!M35:M36)+SUM('Amortization&amp;Depreciation'!M55:M56)+SUM('Amortization&amp;Depreciation'!M75:M76)+SUM('Amortization&amp;Depreciation'!M95:M96)</f>
        <v>0</v>
      </c>
      <c r="N24" s="389">
        <f>SUM('Amortization&amp;Depreciation'!N15:N16)+SUM('Amortization&amp;Depreciation'!N35:N36)+SUM('Amortization&amp;Depreciation'!N55:N56)+SUM('Amortization&amp;Depreciation'!N75:N76)+SUM('Amortization&amp;Depreciation'!N95:N96)</f>
        <v>0</v>
      </c>
      <c r="O24" s="388">
        <f t="shared" ref="O24:O32" si="2">SUM(C24:N24)</f>
        <v>0</v>
      </c>
      <c r="Q24" s="120"/>
    </row>
    <row r="25" spans="1:17" x14ac:dyDescent="0.35">
      <c r="A25" s="120"/>
      <c r="B25" s="390" t="s">
        <v>185</v>
      </c>
      <c r="C25" s="349"/>
      <c r="D25" s="349"/>
      <c r="E25" s="349"/>
      <c r="F25" s="349"/>
      <c r="G25" s="349"/>
      <c r="H25" s="349"/>
      <c r="I25" s="349"/>
      <c r="J25" s="349"/>
      <c r="K25" s="349"/>
      <c r="L25" s="349"/>
      <c r="M25" s="349"/>
      <c r="N25" s="349"/>
      <c r="O25" s="388">
        <f t="shared" si="2"/>
        <v>0</v>
      </c>
      <c r="Q25" s="120"/>
    </row>
    <row r="26" spans="1:17" x14ac:dyDescent="0.35">
      <c r="A26" s="120"/>
      <c r="B26" s="390" t="s">
        <v>186</v>
      </c>
      <c r="C26" s="186"/>
      <c r="D26" s="186">
        <f>C34*'4-AdditionalInputs'!$D$25/12</f>
        <v>0</v>
      </c>
      <c r="E26" s="186">
        <f>D34*'4-AdditionalInputs'!$D$25/12</f>
        <v>0</v>
      </c>
      <c r="F26" s="186">
        <f>E34*'4-AdditionalInputs'!$D$25/12</f>
        <v>0</v>
      </c>
      <c r="G26" s="186">
        <f>F34*'4-AdditionalInputs'!$D$25/12</f>
        <v>0</v>
      </c>
      <c r="H26" s="186">
        <f>G34*'4-AdditionalInputs'!$D$25/12</f>
        <v>0</v>
      </c>
      <c r="I26" s="186">
        <f>H34*'4-AdditionalInputs'!$D$25/12</f>
        <v>0</v>
      </c>
      <c r="J26" s="186">
        <f>I34*'4-AdditionalInputs'!$D$25/12</f>
        <v>0</v>
      </c>
      <c r="K26" s="186">
        <f>J34*'4-AdditionalInputs'!$D$25/12</f>
        <v>0</v>
      </c>
      <c r="L26" s="186">
        <f>K34*'4-AdditionalInputs'!$D$25/12</f>
        <v>0</v>
      </c>
      <c r="M26" s="186">
        <f>L34*'4-AdditionalInputs'!$D$25/12</f>
        <v>0</v>
      </c>
      <c r="N26" s="186">
        <f>M34*'4-AdditionalInputs'!$D$25/12</f>
        <v>0</v>
      </c>
      <c r="O26" s="388">
        <f t="shared" si="2"/>
        <v>0</v>
      </c>
      <c r="Q26" s="120"/>
    </row>
    <row r="27" spans="1:17" x14ac:dyDescent="0.35">
      <c r="A27" s="120"/>
      <c r="B27" s="390" t="s">
        <v>187</v>
      </c>
      <c r="C27" s="349"/>
      <c r="D27" s="349"/>
      <c r="E27" s="349"/>
      <c r="F27" s="349"/>
      <c r="G27" s="349"/>
      <c r="H27" s="349"/>
      <c r="I27" s="349"/>
      <c r="J27" s="349"/>
      <c r="K27" s="349"/>
      <c r="L27" s="349"/>
      <c r="M27" s="349"/>
      <c r="N27" s="349"/>
      <c r="O27" s="388">
        <f t="shared" si="2"/>
        <v>0</v>
      </c>
      <c r="Q27" s="120"/>
    </row>
    <row r="28" spans="1:17" x14ac:dyDescent="0.35">
      <c r="A28" s="120"/>
      <c r="B28" s="390" t="s">
        <v>188</v>
      </c>
      <c r="C28" s="349"/>
      <c r="D28" s="349"/>
      <c r="E28" s="349"/>
      <c r="F28" s="349"/>
      <c r="G28" s="349"/>
      <c r="H28" s="349"/>
      <c r="I28" s="349"/>
      <c r="J28" s="349"/>
      <c r="K28" s="349"/>
      <c r="L28" s="349"/>
      <c r="M28" s="349"/>
      <c r="N28" s="349"/>
      <c r="O28" s="388">
        <f t="shared" si="2"/>
        <v>0</v>
      </c>
      <c r="Q28" s="120"/>
    </row>
    <row r="29" spans="1:17" x14ac:dyDescent="0.35">
      <c r="A29" s="120"/>
      <c r="B29" s="391" t="s">
        <v>189</v>
      </c>
      <c r="C29" s="392">
        <f>SUM(C16:C28)</f>
        <v>0</v>
      </c>
      <c r="D29" s="392">
        <f t="shared" ref="D29:N29" si="3">SUM(D16:D28)</f>
        <v>0</v>
      </c>
      <c r="E29" s="392">
        <f t="shared" si="3"/>
        <v>0</v>
      </c>
      <c r="F29" s="392">
        <f t="shared" si="3"/>
        <v>0</v>
      </c>
      <c r="G29" s="392">
        <f t="shared" si="3"/>
        <v>0</v>
      </c>
      <c r="H29" s="392">
        <f t="shared" si="3"/>
        <v>0</v>
      </c>
      <c r="I29" s="392">
        <f t="shared" si="3"/>
        <v>0</v>
      </c>
      <c r="J29" s="392">
        <f t="shared" si="3"/>
        <v>0</v>
      </c>
      <c r="K29" s="392">
        <f t="shared" si="3"/>
        <v>0</v>
      </c>
      <c r="L29" s="392">
        <f t="shared" si="3"/>
        <v>0</v>
      </c>
      <c r="M29" s="392">
        <f t="shared" si="3"/>
        <v>0</v>
      </c>
      <c r="N29" s="392">
        <f t="shared" si="3"/>
        <v>0</v>
      </c>
      <c r="O29" s="388">
        <f t="shared" si="2"/>
        <v>0</v>
      </c>
      <c r="Q29" s="120"/>
    </row>
    <row r="30" spans="1:17" x14ac:dyDescent="0.35">
      <c r="A30" s="120"/>
      <c r="B30" s="384" t="s">
        <v>190</v>
      </c>
      <c r="C30" s="189">
        <f t="shared" ref="C30:N30" si="4">C12-C29</f>
        <v>0</v>
      </c>
      <c r="D30" s="388">
        <f t="shared" si="4"/>
        <v>0</v>
      </c>
      <c r="E30" s="388">
        <f t="shared" si="4"/>
        <v>0</v>
      </c>
      <c r="F30" s="388">
        <f t="shared" si="4"/>
        <v>0</v>
      </c>
      <c r="G30" s="388">
        <f t="shared" si="4"/>
        <v>0</v>
      </c>
      <c r="H30" s="388">
        <f t="shared" si="4"/>
        <v>0</v>
      </c>
      <c r="I30" s="388">
        <f t="shared" si="4"/>
        <v>0</v>
      </c>
      <c r="J30" s="388">
        <f t="shared" si="4"/>
        <v>0</v>
      </c>
      <c r="K30" s="388">
        <f t="shared" si="4"/>
        <v>0</v>
      </c>
      <c r="L30" s="388">
        <f t="shared" si="4"/>
        <v>0</v>
      </c>
      <c r="M30" s="388">
        <f t="shared" si="4"/>
        <v>0</v>
      </c>
      <c r="N30" s="388">
        <f t="shared" si="4"/>
        <v>0</v>
      </c>
      <c r="O30" s="388">
        <f t="shared" si="2"/>
        <v>0</v>
      </c>
      <c r="Q30" s="120"/>
    </row>
    <row r="31" spans="1:17" x14ac:dyDescent="0.35">
      <c r="A31" s="120"/>
      <c r="B31" s="384" t="s">
        <v>191</v>
      </c>
      <c r="C31" s="189">
        <f>C8+C30</f>
        <v>0</v>
      </c>
      <c r="D31" s="189">
        <f t="shared" ref="D31:N31" si="5">D8+D30</f>
        <v>0</v>
      </c>
      <c r="E31" s="189">
        <f t="shared" si="5"/>
        <v>0</v>
      </c>
      <c r="F31" s="189">
        <f t="shared" si="5"/>
        <v>0</v>
      </c>
      <c r="G31" s="189">
        <f t="shared" si="5"/>
        <v>0</v>
      </c>
      <c r="H31" s="189">
        <f t="shared" si="5"/>
        <v>0</v>
      </c>
      <c r="I31" s="189">
        <f t="shared" si="5"/>
        <v>0</v>
      </c>
      <c r="J31" s="189">
        <f t="shared" si="5"/>
        <v>0</v>
      </c>
      <c r="K31" s="189">
        <f t="shared" si="5"/>
        <v>0</v>
      </c>
      <c r="L31" s="189">
        <f t="shared" si="5"/>
        <v>0</v>
      </c>
      <c r="M31" s="189">
        <f t="shared" si="5"/>
        <v>0</v>
      </c>
      <c r="N31" s="189">
        <f t="shared" si="5"/>
        <v>0</v>
      </c>
      <c r="O31" s="388"/>
      <c r="Q31" s="120"/>
    </row>
    <row r="32" spans="1:17" x14ac:dyDescent="0.35">
      <c r="A32" s="120"/>
      <c r="B32" s="384" t="s">
        <v>192</v>
      </c>
      <c r="C32" s="189">
        <f>IF(C31&lt;'4-AdditionalInputs'!$D$24, '4-AdditionalInputs'!$D$24-C31, 0)</f>
        <v>0</v>
      </c>
      <c r="D32" s="189">
        <f>IF(D31&lt;'4-AdditionalInputs'!$D$24, '4-AdditionalInputs'!$D$24-D31, 0)</f>
        <v>0</v>
      </c>
      <c r="E32" s="189">
        <f>IF(E31&lt;'4-AdditionalInputs'!$D$24, '4-AdditionalInputs'!$D$24-E31, 0)</f>
        <v>0</v>
      </c>
      <c r="F32" s="189">
        <f>IF(F31&lt;'4-AdditionalInputs'!$D$24, '4-AdditionalInputs'!$D$24-F31, 0)</f>
        <v>0</v>
      </c>
      <c r="G32" s="189">
        <f>IF(G31&lt;'4-AdditionalInputs'!$D$24, '4-AdditionalInputs'!$D$24-G31, 0)</f>
        <v>0</v>
      </c>
      <c r="H32" s="189">
        <f>IF(H31&lt;'4-AdditionalInputs'!$D$24, '4-AdditionalInputs'!$D$24-H31, 0)</f>
        <v>0</v>
      </c>
      <c r="I32" s="189">
        <f>IF(I31&lt;'4-AdditionalInputs'!$D$24, '4-AdditionalInputs'!$D$24-I31, 0)</f>
        <v>0</v>
      </c>
      <c r="J32" s="189">
        <f>IF(J31&lt;'4-AdditionalInputs'!$D$24, '4-AdditionalInputs'!$D$24-J31, 0)</f>
        <v>0</v>
      </c>
      <c r="K32" s="189">
        <f>IF(K31&lt;'4-AdditionalInputs'!$D$24, '4-AdditionalInputs'!$D$24-K31, 0)</f>
        <v>0</v>
      </c>
      <c r="L32" s="189">
        <f>IF(L31&lt;'4-AdditionalInputs'!$D$24, '4-AdditionalInputs'!$D$24-L31, 0)</f>
        <v>0</v>
      </c>
      <c r="M32" s="189">
        <f>IF(M31&lt;'4-AdditionalInputs'!$D$24, '4-AdditionalInputs'!$D$24-M31, 0)</f>
        <v>0</v>
      </c>
      <c r="N32" s="189">
        <f>IF(N31&lt;'4-AdditionalInputs'!$D$24, '4-AdditionalInputs'!$D$24-N31, 0)</f>
        <v>0</v>
      </c>
      <c r="O32" s="388">
        <f t="shared" si="2"/>
        <v>0</v>
      </c>
      <c r="Q32" s="120"/>
    </row>
    <row r="33" spans="1:17" x14ac:dyDescent="0.35">
      <c r="A33" s="120"/>
      <c r="B33" s="384" t="s">
        <v>193</v>
      </c>
      <c r="C33" s="189">
        <f>SUM(C31+C32)</f>
        <v>0</v>
      </c>
      <c r="D33" s="189">
        <f t="shared" ref="D33:N33" si="6">SUM(D31+D32)</f>
        <v>0</v>
      </c>
      <c r="E33" s="189">
        <f t="shared" si="6"/>
        <v>0</v>
      </c>
      <c r="F33" s="189">
        <f t="shared" si="6"/>
        <v>0</v>
      </c>
      <c r="G33" s="189">
        <f t="shared" si="6"/>
        <v>0</v>
      </c>
      <c r="H33" s="189">
        <f t="shared" si="6"/>
        <v>0</v>
      </c>
      <c r="I33" s="189">
        <f t="shared" si="6"/>
        <v>0</v>
      </c>
      <c r="J33" s="189">
        <f t="shared" si="6"/>
        <v>0</v>
      </c>
      <c r="K33" s="189">
        <f t="shared" si="6"/>
        <v>0</v>
      </c>
      <c r="L33" s="189">
        <f t="shared" si="6"/>
        <v>0</v>
      </c>
      <c r="M33" s="189">
        <f t="shared" si="6"/>
        <v>0</v>
      </c>
      <c r="N33" s="189">
        <f t="shared" si="6"/>
        <v>0</v>
      </c>
      <c r="O33" s="388"/>
      <c r="Q33" s="120"/>
    </row>
    <row r="34" spans="1:17" x14ac:dyDescent="0.35">
      <c r="A34" s="120"/>
      <c r="B34" s="145" t="s">
        <v>194</v>
      </c>
      <c r="C34" s="165">
        <f>C32-C27</f>
        <v>0</v>
      </c>
      <c r="D34" s="165">
        <f>D32+C34-D27</f>
        <v>0</v>
      </c>
      <c r="E34" s="165">
        <f t="shared" ref="E34:N34" si="7">E32+D34-E27</f>
        <v>0</v>
      </c>
      <c r="F34" s="165">
        <f t="shared" si="7"/>
        <v>0</v>
      </c>
      <c r="G34" s="165">
        <f t="shared" si="7"/>
        <v>0</v>
      </c>
      <c r="H34" s="165">
        <f t="shared" si="7"/>
        <v>0</v>
      </c>
      <c r="I34" s="165">
        <f>I32+H34-I27</f>
        <v>0</v>
      </c>
      <c r="J34" s="165">
        <f t="shared" si="7"/>
        <v>0</v>
      </c>
      <c r="K34" s="165">
        <f t="shared" si="7"/>
        <v>0</v>
      </c>
      <c r="L34" s="165">
        <f t="shared" si="7"/>
        <v>0</v>
      </c>
      <c r="M34" s="165">
        <f t="shared" si="7"/>
        <v>0</v>
      </c>
      <c r="N34" s="165">
        <f t="shared" si="7"/>
        <v>0</v>
      </c>
      <c r="O34" s="388"/>
      <c r="Q34" s="120"/>
    </row>
  </sheetData>
  <sheetProtection formatColumns="0" formatRows="0"/>
  <mergeCells count="1">
    <mergeCell ref="B2:C2"/>
  </mergeCells>
  <conditionalFormatting sqref="C25:N25 C27:N28">
    <cfRule type="containsBlanks" dxfId="49" priority="7" stopIfTrue="1">
      <formula>LEN(TRIM(C25))=0</formula>
    </cfRule>
  </conditionalFormatting>
  <conditionalFormatting sqref="C29:O29">
    <cfRule type="expression" dxfId="48" priority="5" stopIfTrue="1">
      <formula>ISERROR(C29)</formula>
    </cfRule>
  </conditionalFormatting>
  <conditionalFormatting sqref="C30:N31 D8:N8 D32:N32 C24:O24">
    <cfRule type="expression" dxfId="47" priority="4" stopIfTrue="1">
      <formula>ISERROR(C8)</formula>
    </cfRule>
  </conditionalFormatting>
  <conditionalFormatting sqref="C33:N33">
    <cfRule type="expression" dxfId="46" priority="3" stopIfTrue="1">
      <formula>ISERROR(C33)</formula>
    </cfRule>
  </conditionalFormatting>
  <conditionalFormatting sqref="O30:O34">
    <cfRule type="expression" dxfId="45" priority="2" stopIfTrue="1">
      <formula>ISERROR(O30)</formula>
    </cfRule>
  </conditionalFormatting>
  <conditionalFormatting sqref="C32:N32">
    <cfRule type="containsBlanks" dxfId="44" priority="1">
      <formula>LEN(TRIM(C32))=0</formula>
    </cfRule>
  </conditionalFormatting>
  <conditionalFormatting sqref="C17:N17">
    <cfRule type="containsBlanks" dxfId="43" priority="6" stopIfTrue="1">
      <formula>LEN(TRIM(C17))=0</formula>
    </cfRule>
  </conditionalFormatting>
  <pageMargins left="0.25" right="0.25" top="0.75" bottom="0.75" header="0.3" footer="0.3"/>
  <pageSetup scale="85" orientation="landscape" r:id="rId1"/>
  <headerFooter scaleWithDoc="0">
    <oddHeader>&amp;C&amp;"Gill Sans MT,Regular"&amp;12Cash Flow Forecast Year 1</oddHeader>
    <oddFooter>&amp;L&amp;"Gill Sans MT,Regular"&amp;12&amp;F&amp;C&amp;"Gill Sans MT,Regular"&amp;12&amp;A&amp;R&amp;"Gill Sans MT,Regular"&amp;12&amp;D &amp;T</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autoPageBreaks="0"/>
  </sheetPr>
  <dimension ref="A1:AB33"/>
  <sheetViews>
    <sheetView zoomScaleNormal="100" zoomScalePageLayoutView="80" workbookViewId="0">
      <selection activeCell="J32" sqref="J32"/>
    </sheetView>
  </sheetViews>
  <sheetFormatPr defaultColWidth="8.875" defaultRowHeight="15.75" x14ac:dyDescent="0.35"/>
  <cols>
    <col min="1" max="1" width="29.25" style="118" customWidth="1"/>
    <col min="2" max="2" width="13.875" style="118" customWidth="1"/>
    <col min="3" max="10" width="9.75" style="120" customWidth="1"/>
    <col min="11" max="11" width="10.375" style="120" customWidth="1"/>
    <col min="12" max="14" width="9.75" style="120" customWidth="1"/>
    <col min="15" max="15" width="12.375" style="120" bestFit="1" customWidth="1"/>
    <col min="16" max="16" width="9.75" style="120" customWidth="1"/>
    <col min="17" max="17" width="9.75" style="118" customWidth="1"/>
    <col min="18" max="27" width="9.75" style="120" customWidth="1"/>
    <col min="28" max="28" width="15.875" style="120" bestFit="1" customWidth="1"/>
    <col min="29" max="29" width="8.875" style="120" customWidth="1"/>
    <col min="30" max="256" width="8.875" style="120"/>
    <col min="257" max="257" width="29.25" style="120" customWidth="1"/>
    <col min="258" max="258" width="13.875" style="120" customWidth="1"/>
    <col min="259" max="266" width="9.75" style="120" customWidth="1"/>
    <col min="267" max="267" width="10.375" style="120" customWidth="1"/>
    <col min="268" max="270" width="9.75" style="120" customWidth="1"/>
    <col min="271" max="271" width="12.375" style="120" bestFit="1" customWidth="1"/>
    <col min="272" max="283" width="9.75" style="120" customWidth="1"/>
    <col min="284" max="284" width="15.875" style="120" bestFit="1" customWidth="1"/>
    <col min="285" max="285" width="8.875" style="120" customWidth="1"/>
    <col min="286" max="512" width="8.875" style="120"/>
    <col min="513" max="513" width="29.25" style="120" customWidth="1"/>
    <col min="514" max="514" width="13.875" style="120" customWidth="1"/>
    <col min="515" max="522" width="9.75" style="120" customWidth="1"/>
    <col min="523" max="523" width="10.375" style="120" customWidth="1"/>
    <col min="524" max="526" width="9.75" style="120" customWidth="1"/>
    <col min="527" max="527" width="12.375" style="120" bestFit="1" customWidth="1"/>
    <col min="528" max="539" width="9.75" style="120" customWidth="1"/>
    <col min="540" max="540" width="15.875" style="120" bestFit="1" customWidth="1"/>
    <col min="541" max="541" width="8.875" style="120" customWidth="1"/>
    <col min="542" max="768" width="8.875" style="120"/>
    <col min="769" max="769" width="29.25" style="120" customWidth="1"/>
    <col min="770" max="770" width="13.875" style="120" customWidth="1"/>
    <col min="771" max="778" width="9.75" style="120" customWidth="1"/>
    <col min="779" max="779" width="10.375" style="120" customWidth="1"/>
    <col min="780" max="782" width="9.75" style="120" customWidth="1"/>
    <col min="783" max="783" width="12.375" style="120" bestFit="1" customWidth="1"/>
    <col min="784" max="795" width="9.75" style="120" customWidth="1"/>
    <col min="796" max="796" width="15.875" style="120" bestFit="1" customWidth="1"/>
    <col min="797" max="797" width="8.875" style="120" customWidth="1"/>
    <col min="798" max="1024" width="8.875" style="120"/>
    <col min="1025" max="1025" width="29.25" style="120" customWidth="1"/>
    <col min="1026" max="1026" width="13.875" style="120" customWidth="1"/>
    <col min="1027" max="1034" width="9.75" style="120" customWidth="1"/>
    <col min="1035" max="1035" width="10.375" style="120" customWidth="1"/>
    <col min="1036" max="1038" width="9.75" style="120" customWidth="1"/>
    <col min="1039" max="1039" width="12.375" style="120" bestFit="1" customWidth="1"/>
    <col min="1040" max="1051" width="9.75" style="120" customWidth="1"/>
    <col min="1052" max="1052" width="15.875" style="120" bestFit="1" customWidth="1"/>
    <col min="1053" max="1053" width="8.875" style="120" customWidth="1"/>
    <col min="1054" max="1280" width="8.875" style="120"/>
    <col min="1281" max="1281" width="29.25" style="120" customWidth="1"/>
    <col min="1282" max="1282" width="13.875" style="120" customWidth="1"/>
    <col min="1283" max="1290" width="9.75" style="120" customWidth="1"/>
    <col min="1291" max="1291" width="10.375" style="120" customWidth="1"/>
    <col min="1292" max="1294" width="9.75" style="120" customWidth="1"/>
    <col min="1295" max="1295" width="12.375" style="120" bestFit="1" customWidth="1"/>
    <col min="1296" max="1307" width="9.75" style="120" customWidth="1"/>
    <col min="1308" max="1308" width="15.875" style="120" bestFit="1" customWidth="1"/>
    <col min="1309" max="1309" width="8.875" style="120" customWidth="1"/>
    <col min="1310" max="1536" width="8.875" style="120"/>
    <col min="1537" max="1537" width="29.25" style="120" customWidth="1"/>
    <col min="1538" max="1538" width="13.875" style="120" customWidth="1"/>
    <col min="1539" max="1546" width="9.75" style="120" customWidth="1"/>
    <col min="1547" max="1547" width="10.375" style="120" customWidth="1"/>
    <col min="1548" max="1550" width="9.75" style="120" customWidth="1"/>
    <col min="1551" max="1551" width="12.375" style="120" bestFit="1" customWidth="1"/>
    <col min="1552" max="1563" width="9.75" style="120" customWidth="1"/>
    <col min="1564" max="1564" width="15.875" style="120" bestFit="1" customWidth="1"/>
    <col min="1565" max="1565" width="8.875" style="120" customWidth="1"/>
    <col min="1566" max="1792" width="8.875" style="120"/>
    <col min="1793" max="1793" width="29.25" style="120" customWidth="1"/>
    <col min="1794" max="1794" width="13.875" style="120" customWidth="1"/>
    <col min="1795" max="1802" width="9.75" style="120" customWidth="1"/>
    <col min="1803" max="1803" width="10.375" style="120" customWidth="1"/>
    <col min="1804" max="1806" width="9.75" style="120" customWidth="1"/>
    <col min="1807" max="1807" width="12.375" style="120" bestFit="1" customWidth="1"/>
    <col min="1808" max="1819" width="9.75" style="120" customWidth="1"/>
    <col min="1820" max="1820" width="15.875" style="120" bestFit="1" customWidth="1"/>
    <col min="1821" max="1821" width="8.875" style="120" customWidth="1"/>
    <col min="1822" max="2048" width="8.875" style="120"/>
    <col min="2049" max="2049" width="29.25" style="120" customWidth="1"/>
    <col min="2050" max="2050" width="13.875" style="120" customWidth="1"/>
    <col min="2051" max="2058" width="9.75" style="120" customWidth="1"/>
    <col min="2059" max="2059" width="10.375" style="120" customWidth="1"/>
    <col min="2060" max="2062" width="9.75" style="120" customWidth="1"/>
    <col min="2063" max="2063" width="12.375" style="120" bestFit="1" customWidth="1"/>
    <col min="2064" max="2075" width="9.75" style="120" customWidth="1"/>
    <col min="2076" max="2076" width="15.875" style="120" bestFit="1" customWidth="1"/>
    <col min="2077" max="2077" width="8.875" style="120" customWidth="1"/>
    <col min="2078" max="2304" width="8.875" style="120"/>
    <col min="2305" max="2305" width="29.25" style="120" customWidth="1"/>
    <col min="2306" max="2306" width="13.875" style="120" customWidth="1"/>
    <col min="2307" max="2314" width="9.75" style="120" customWidth="1"/>
    <col min="2315" max="2315" width="10.375" style="120" customWidth="1"/>
    <col min="2316" max="2318" width="9.75" style="120" customWidth="1"/>
    <col min="2319" max="2319" width="12.375" style="120" bestFit="1" customWidth="1"/>
    <col min="2320" max="2331" width="9.75" style="120" customWidth="1"/>
    <col min="2332" max="2332" width="15.875" style="120" bestFit="1" customWidth="1"/>
    <col min="2333" max="2333" width="8.875" style="120" customWidth="1"/>
    <col min="2334" max="2560" width="8.875" style="120"/>
    <col min="2561" max="2561" width="29.25" style="120" customWidth="1"/>
    <col min="2562" max="2562" width="13.875" style="120" customWidth="1"/>
    <col min="2563" max="2570" width="9.75" style="120" customWidth="1"/>
    <col min="2571" max="2571" width="10.375" style="120" customWidth="1"/>
    <col min="2572" max="2574" width="9.75" style="120" customWidth="1"/>
    <col min="2575" max="2575" width="12.375" style="120" bestFit="1" customWidth="1"/>
    <col min="2576" max="2587" width="9.75" style="120" customWidth="1"/>
    <col min="2588" max="2588" width="15.875" style="120" bestFit="1" customWidth="1"/>
    <col min="2589" max="2589" width="8.875" style="120" customWidth="1"/>
    <col min="2590" max="2816" width="8.875" style="120"/>
    <col min="2817" max="2817" width="29.25" style="120" customWidth="1"/>
    <col min="2818" max="2818" width="13.875" style="120" customWidth="1"/>
    <col min="2819" max="2826" width="9.75" style="120" customWidth="1"/>
    <col min="2827" max="2827" width="10.375" style="120" customWidth="1"/>
    <col min="2828" max="2830" width="9.75" style="120" customWidth="1"/>
    <col min="2831" max="2831" width="12.375" style="120" bestFit="1" customWidth="1"/>
    <col min="2832" max="2843" width="9.75" style="120" customWidth="1"/>
    <col min="2844" max="2844" width="15.875" style="120" bestFit="1" customWidth="1"/>
    <col min="2845" max="2845" width="8.875" style="120" customWidth="1"/>
    <col min="2846" max="3072" width="8.875" style="120"/>
    <col min="3073" max="3073" width="29.25" style="120" customWidth="1"/>
    <col min="3074" max="3074" width="13.875" style="120" customWidth="1"/>
    <col min="3075" max="3082" width="9.75" style="120" customWidth="1"/>
    <col min="3083" max="3083" width="10.375" style="120" customWidth="1"/>
    <col min="3084" max="3086" width="9.75" style="120" customWidth="1"/>
    <col min="3087" max="3087" width="12.375" style="120" bestFit="1" customWidth="1"/>
    <col min="3088" max="3099" width="9.75" style="120" customWidth="1"/>
    <col min="3100" max="3100" width="15.875" style="120" bestFit="1" customWidth="1"/>
    <col min="3101" max="3101" width="8.875" style="120" customWidth="1"/>
    <col min="3102" max="3328" width="8.875" style="120"/>
    <col min="3329" max="3329" width="29.25" style="120" customWidth="1"/>
    <col min="3330" max="3330" width="13.875" style="120" customWidth="1"/>
    <col min="3331" max="3338" width="9.75" style="120" customWidth="1"/>
    <col min="3339" max="3339" width="10.375" style="120" customWidth="1"/>
    <col min="3340" max="3342" width="9.75" style="120" customWidth="1"/>
    <col min="3343" max="3343" width="12.375" style="120" bestFit="1" customWidth="1"/>
    <col min="3344" max="3355" width="9.75" style="120" customWidth="1"/>
    <col min="3356" max="3356" width="15.875" style="120" bestFit="1" customWidth="1"/>
    <col min="3357" max="3357" width="8.875" style="120" customWidth="1"/>
    <col min="3358" max="3584" width="8.875" style="120"/>
    <col min="3585" max="3585" width="29.25" style="120" customWidth="1"/>
    <col min="3586" max="3586" width="13.875" style="120" customWidth="1"/>
    <col min="3587" max="3594" width="9.75" style="120" customWidth="1"/>
    <col min="3595" max="3595" width="10.375" style="120" customWidth="1"/>
    <col min="3596" max="3598" width="9.75" style="120" customWidth="1"/>
    <col min="3599" max="3599" width="12.375" style="120" bestFit="1" customWidth="1"/>
    <col min="3600" max="3611" width="9.75" style="120" customWidth="1"/>
    <col min="3612" max="3612" width="15.875" style="120" bestFit="1" customWidth="1"/>
    <col min="3613" max="3613" width="8.875" style="120" customWidth="1"/>
    <col min="3614" max="3840" width="8.875" style="120"/>
    <col min="3841" max="3841" width="29.25" style="120" customWidth="1"/>
    <col min="3842" max="3842" width="13.875" style="120" customWidth="1"/>
    <col min="3843" max="3850" width="9.75" style="120" customWidth="1"/>
    <col min="3851" max="3851" width="10.375" style="120" customWidth="1"/>
    <col min="3852" max="3854" width="9.75" style="120" customWidth="1"/>
    <col min="3855" max="3855" width="12.375" style="120" bestFit="1" customWidth="1"/>
    <col min="3856" max="3867" width="9.75" style="120" customWidth="1"/>
    <col min="3868" max="3868" width="15.875" style="120" bestFit="1" customWidth="1"/>
    <col min="3869" max="3869" width="8.875" style="120" customWidth="1"/>
    <col min="3870" max="4096" width="8.875" style="120"/>
    <col min="4097" max="4097" width="29.25" style="120" customWidth="1"/>
    <col min="4098" max="4098" width="13.875" style="120" customWidth="1"/>
    <col min="4099" max="4106" width="9.75" style="120" customWidth="1"/>
    <col min="4107" max="4107" width="10.375" style="120" customWidth="1"/>
    <col min="4108" max="4110" width="9.75" style="120" customWidth="1"/>
    <col min="4111" max="4111" width="12.375" style="120" bestFit="1" customWidth="1"/>
    <col min="4112" max="4123" width="9.75" style="120" customWidth="1"/>
    <col min="4124" max="4124" width="15.875" style="120" bestFit="1" customWidth="1"/>
    <col min="4125" max="4125" width="8.875" style="120" customWidth="1"/>
    <col min="4126" max="4352" width="8.875" style="120"/>
    <col min="4353" max="4353" width="29.25" style="120" customWidth="1"/>
    <col min="4354" max="4354" width="13.875" style="120" customWidth="1"/>
    <col min="4355" max="4362" width="9.75" style="120" customWidth="1"/>
    <col min="4363" max="4363" width="10.375" style="120" customWidth="1"/>
    <col min="4364" max="4366" width="9.75" style="120" customWidth="1"/>
    <col min="4367" max="4367" width="12.375" style="120" bestFit="1" customWidth="1"/>
    <col min="4368" max="4379" width="9.75" style="120" customWidth="1"/>
    <col min="4380" max="4380" width="15.875" style="120" bestFit="1" customWidth="1"/>
    <col min="4381" max="4381" width="8.875" style="120" customWidth="1"/>
    <col min="4382" max="4608" width="8.875" style="120"/>
    <col min="4609" max="4609" width="29.25" style="120" customWidth="1"/>
    <col min="4610" max="4610" width="13.875" style="120" customWidth="1"/>
    <col min="4611" max="4618" width="9.75" style="120" customWidth="1"/>
    <col min="4619" max="4619" width="10.375" style="120" customWidth="1"/>
    <col min="4620" max="4622" width="9.75" style="120" customWidth="1"/>
    <col min="4623" max="4623" width="12.375" style="120" bestFit="1" customWidth="1"/>
    <col min="4624" max="4635" width="9.75" style="120" customWidth="1"/>
    <col min="4636" max="4636" width="15.875" style="120" bestFit="1" customWidth="1"/>
    <col min="4637" max="4637" width="8.875" style="120" customWidth="1"/>
    <col min="4638" max="4864" width="8.875" style="120"/>
    <col min="4865" max="4865" width="29.25" style="120" customWidth="1"/>
    <col min="4866" max="4866" width="13.875" style="120" customWidth="1"/>
    <col min="4867" max="4874" width="9.75" style="120" customWidth="1"/>
    <col min="4875" max="4875" width="10.375" style="120" customWidth="1"/>
    <col min="4876" max="4878" width="9.75" style="120" customWidth="1"/>
    <col min="4879" max="4879" width="12.375" style="120" bestFit="1" customWidth="1"/>
    <col min="4880" max="4891" width="9.75" style="120" customWidth="1"/>
    <col min="4892" max="4892" width="15.875" style="120" bestFit="1" customWidth="1"/>
    <col min="4893" max="4893" width="8.875" style="120" customWidth="1"/>
    <col min="4894" max="5120" width="8.875" style="120"/>
    <col min="5121" max="5121" width="29.25" style="120" customWidth="1"/>
    <col min="5122" max="5122" width="13.875" style="120" customWidth="1"/>
    <col min="5123" max="5130" width="9.75" style="120" customWidth="1"/>
    <col min="5131" max="5131" width="10.375" style="120" customWidth="1"/>
    <col min="5132" max="5134" width="9.75" style="120" customWidth="1"/>
    <col min="5135" max="5135" width="12.375" style="120" bestFit="1" customWidth="1"/>
    <col min="5136" max="5147" width="9.75" style="120" customWidth="1"/>
    <col min="5148" max="5148" width="15.875" style="120" bestFit="1" customWidth="1"/>
    <col min="5149" max="5149" width="8.875" style="120" customWidth="1"/>
    <col min="5150" max="5376" width="8.875" style="120"/>
    <col min="5377" max="5377" width="29.25" style="120" customWidth="1"/>
    <col min="5378" max="5378" width="13.875" style="120" customWidth="1"/>
    <col min="5379" max="5386" width="9.75" style="120" customWidth="1"/>
    <col min="5387" max="5387" width="10.375" style="120" customWidth="1"/>
    <col min="5388" max="5390" width="9.75" style="120" customWidth="1"/>
    <col min="5391" max="5391" width="12.375" style="120" bestFit="1" customWidth="1"/>
    <col min="5392" max="5403" width="9.75" style="120" customWidth="1"/>
    <col min="5404" max="5404" width="15.875" style="120" bestFit="1" customWidth="1"/>
    <col min="5405" max="5405" width="8.875" style="120" customWidth="1"/>
    <col min="5406" max="5632" width="8.875" style="120"/>
    <col min="5633" max="5633" width="29.25" style="120" customWidth="1"/>
    <col min="5634" max="5634" width="13.875" style="120" customWidth="1"/>
    <col min="5635" max="5642" width="9.75" style="120" customWidth="1"/>
    <col min="5643" max="5643" width="10.375" style="120" customWidth="1"/>
    <col min="5644" max="5646" width="9.75" style="120" customWidth="1"/>
    <col min="5647" max="5647" width="12.375" style="120" bestFit="1" customWidth="1"/>
    <col min="5648" max="5659" width="9.75" style="120" customWidth="1"/>
    <col min="5660" max="5660" width="15.875" style="120" bestFit="1" customWidth="1"/>
    <col min="5661" max="5661" width="8.875" style="120" customWidth="1"/>
    <col min="5662" max="5888" width="8.875" style="120"/>
    <col min="5889" max="5889" width="29.25" style="120" customWidth="1"/>
    <col min="5890" max="5890" width="13.875" style="120" customWidth="1"/>
    <col min="5891" max="5898" width="9.75" style="120" customWidth="1"/>
    <col min="5899" max="5899" width="10.375" style="120" customWidth="1"/>
    <col min="5900" max="5902" width="9.75" style="120" customWidth="1"/>
    <col min="5903" max="5903" width="12.375" style="120" bestFit="1" customWidth="1"/>
    <col min="5904" max="5915" width="9.75" style="120" customWidth="1"/>
    <col min="5916" max="5916" width="15.875" style="120" bestFit="1" customWidth="1"/>
    <col min="5917" max="5917" width="8.875" style="120" customWidth="1"/>
    <col min="5918" max="6144" width="8.875" style="120"/>
    <col min="6145" max="6145" width="29.25" style="120" customWidth="1"/>
    <col min="6146" max="6146" width="13.875" style="120" customWidth="1"/>
    <col min="6147" max="6154" width="9.75" style="120" customWidth="1"/>
    <col min="6155" max="6155" width="10.375" style="120" customWidth="1"/>
    <col min="6156" max="6158" width="9.75" style="120" customWidth="1"/>
    <col min="6159" max="6159" width="12.375" style="120" bestFit="1" customWidth="1"/>
    <col min="6160" max="6171" width="9.75" style="120" customWidth="1"/>
    <col min="6172" max="6172" width="15.875" style="120" bestFit="1" customWidth="1"/>
    <col min="6173" max="6173" width="8.875" style="120" customWidth="1"/>
    <col min="6174" max="6400" width="8.875" style="120"/>
    <col min="6401" max="6401" width="29.25" style="120" customWidth="1"/>
    <col min="6402" max="6402" width="13.875" style="120" customWidth="1"/>
    <col min="6403" max="6410" width="9.75" style="120" customWidth="1"/>
    <col min="6411" max="6411" width="10.375" style="120" customWidth="1"/>
    <col min="6412" max="6414" width="9.75" style="120" customWidth="1"/>
    <col min="6415" max="6415" width="12.375" style="120" bestFit="1" customWidth="1"/>
    <col min="6416" max="6427" width="9.75" style="120" customWidth="1"/>
    <col min="6428" max="6428" width="15.875" style="120" bestFit="1" customWidth="1"/>
    <col min="6429" max="6429" width="8.875" style="120" customWidth="1"/>
    <col min="6430" max="6656" width="8.875" style="120"/>
    <col min="6657" max="6657" width="29.25" style="120" customWidth="1"/>
    <col min="6658" max="6658" width="13.875" style="120" customWidth="1"/>
    <col min="6659" max="6666" width="9.75" style="120" customWidth="1"/>
    <col min="6667" max="6667" width="10.375" style="120" customWidth="1"/>
    <col min="6668" max="6670" width="9.75" style="120" customWidth="1"/>
    <col min="6671" max="6671" width="12.375" style="120" bestFit="1" customWidth="1"/>
    <col min="6672" max="6683" width="9.75" style="120" customWidth="1"/>
    <col min="6684" max="6684" width="15.875" style="120" bestFit="1" customWidth="1"/>
    <col min="6685" max="6685" width="8.875" style="120" customWidth="1"/>
    <col min="6686" max="6912" width="8.875" style="120"/>
    <col min="6913" max="6913" width="29.25" style="120" customWidth="1"/>
    <col min="6914" max="6914" width="13.875" style="120" customWidth="1"/>
    <col min="6915" max="6922" width="9.75" style="120" customWidth="1"/>
    <col min="6923" max="6923" width="10.375" style="120" customWidth="1"/>
    <col min="6924" max="6926" width="9.75" style="120" customWidth="1"/>
    <col min="6927" max="6927" width="12.375" style="120" bestFit="1" customWidth="1"/>
    <col min="6928" max="6939" width="9.75" style="120" customWidth="1"/>
    <col min="6940" max="6940" width="15.875" style="120" bestFit="1" customWidth="1"/>
    <col min="6941" max="6941" width="8.875" style="120" customWidth="1"/>
    <col min="6942" max="7168" width="8.875" style="120"/>
    <col min="7169" max="7169" width="29.25" style="120" customWidth="1"/>
    <col min="7170" max="7170" width="13.875" style="120" customWidth="1"/>
    <col min="7171" max="7178" width="9.75" style="120" customWidth="1"/>
    <col min="7179" max="7179" width="10.375" style="120" customWidth="1"/>
    <col min="7180" max="7182" width="9.75" style="120" customWidth="1"/>
    <col min="7183" max="7183" width="12.375" style="120" bestFit="1" customWidth="1"/>
    <col min="7184" max="7195" width="9.75" style="120" customWidth="1"/>
    <col min="7196" max="7196" width="15.875" style="120" bestFit="1" customWidth="1"/>
    <col min="7197" max="7197" width="8.875" style="120" customWidth="1"/>
    <col min="7198" max="7424" width="8.875" style="120"/>
    <col min="7425" max="7425" width="29.25" style="120" customWidth="1"/>
    <col min="7426" max="7426" width="13.875" style="120" customWidth="1"/>
    <col min="7427" max="7434" width="9.75" style="120" customWidth="1"/>
    <col min="7435" max="7435" width="10.375" style="120" customWidth="1"/>
    <col min="7436" max="7438" width="9.75" style="120" customWidth="1"/>
    <col min="7439" max="7439" width="12.375" style="120" bestFit="1" customWidth="1"/>
    <col min="7440" max="7451" width="9.75" style="120" customWidth="1"/>
    <col min="7452" max="7452" width="15.875" style="120" bestFit="1" customWidth="1"/>
    <col min="7453" max="7453" width="8.875" style="120" customWidth="1"/>
    <col min="7454" max="7680" width="8.875" style="120"/>
    <col min="7681" max="7681" width="29.25" style="120" customWidth="1"/>
    <col min="7682" max="7682" width="13.875" style="120" customWidth="1"/>
    <col min="7683" max="7690" width="9.75" style="120" customWidth="1"/>
    <col min="7691" max="7691" width="10.375" style="120" customWidth="1"/>
    <col min="7692" max="7694" width="9.75" style="120" customWidth="1"/>
    <col min="7695" max="7695" width="12.375" style="120" bestFit="1" customWidth="1"/>
    <col min="7696" max="7707" width="9.75" style="120" customWidth="1"/>
    <col min="7708" max="7708" width="15.875" style="120" bestFit="1" customWidth="1"/>
    <col min="7709" max="7709" width="8.875" style="120" customWidth="1"/>
    <col min="7710" max="7936" width="8.875" style="120"/>
    <col min="7937" max="7937" width="29.25" style="120" customWidth="1"/>
    <col min="7938" max="7938" width="13.875" style="120" customWidth="1"/>
    <col min="7939" max="7946" width="9.75" style="120" customWidth="1"/>
    <col min="7947" max="7947" width="10.375" style="120" customWidth="1"/>
    <col min="7948" max="7950" width="9.75" style="120" customWidth="1"/>
    <col min="7951" max="7951" width="12.375" style="120" bestFit="1" customWidth="1"/>
    <col min="7952" max="7963" width="9.75" style="120" customWidth="1"/>
    <col min="7964" max="7964" width="15.875" style="120" bestFit="1" customWidth="1"/>
    <col min="7965" max="7965" width="8.875" style="120" customWidth="1"/>
    <col min="7966" max="8192" width="8.875" style="120"/>
    <col min="8193" max="8193" width="29.25" style="120" customWidth="1"/>
    <col min="8194" max="8194" width="13.875" style="120" customWidth="1"/>
    <col min="8195" max="8202" width="9.75" style="120" customWidth="1"/>
    <col min="8203" max="8203" width="10.375" style="120" customWidth="1"/>
    <col min="8204" max="8206" width="9.75" style="120" customWidth="1"/>
    <col min="8207" max="8207" width="12.375" style="120" bestFit="1" customWidth="1"/>
    <col min="8208" max="8219" width="9.75" style="120" customWidth="1"/>
    <col min="8220" max="8220" width="15.875" style="120" bestFit="1" customWidth="1"/>
    <col min="8221" max="8221" width="8.875" style="120" customWidth="1"/>
    <col min="8222" max="8448" width="8.875" style="120"/>
    <col min="8449" max="8449" width="29.25" style="120" customWidth="1"/>
    <col min="8450" max="8450" width="13.875" style="120" customWidth="1"/>
    <col min="8451" max="8458" width="9.75" style="120" customWidth="1"/>
    <col min="8459" max="8459" width="10.375" style="120" customWidth="1"/>
    <col min="8460" max="8462" width="9.75" style="120" customWidth="1"/>
    <col min="8463" max="8463" width="12.375" style="120" bestFit="1" customWidth="1"/>
    <col min="8464" max="8475" width="9.75" style="120" customWidth="1"/>
    <col min="8476" max="8476" width="15.875" style="120" bestFit="1" customWidth="1"/>
    <col min="8477" max="8477" width="8.875" style="120" customWidth="1"/>
    <col min="8478" max="8704" width="8.875" style="120"/>
    <col min="8705" max="8705" width="29.25" style="120" customWidth="1"/>
    <col min="8706" max="8706" width="13.875" style="120" customWidth="1"/>
    <col min="8707" max="8714" width="9.75" style="120" customWidth="1"/>
    <col min="8715" max="8715" width="10.375" style="120" customWidth="1"/>
    <col min="8716" max="8718" width="9.75" style="120" customWidth="1"/>
    <col min="8719" max="8719" width="12.375" style="120" bestFit="1" customWidth="1"/>
    <col min="8720" max="8731" width="9.75" style="120" customWidth="1"/>
    <col min="8732" max="8732" width="15.875" style="120" bestFit="1" customWidth="1"/>
    <col min="8733" max="8733" width="8.875" style="120" customWidth="1"/>
    <col min="8734" max="8960" width="8.875" style="120"/>
    <col min="8961" max="8961" width="29.25" style="120" customWidth="1"/>
    <col min="8962" max="8962" width="13.875" style="120" customWidth="1"/>
    <col min="8963" max="8970" width="9.75" style="120" customWidth="1"/>
    <col min="8971" max="8971" width="10.375" style="120" customWidth="1"/>
    <col min="8972" max="8974" width="9.75" style="120" customWidth="1"/>
    <col min="8975" max="8975" width="12.375" style="120" bestFit="1" customWidth="1"/>
    <col min="8976" max="8987" width="9.75" style="120" customWidth="1"/>
    <col min="8988" max="8988" width="15.875" style="120" bestFit="1" customWidth="1"/>
    <col min="8989" max="8989" width="8.875" style="120" customWidth="1"/>
    <col min="8990" max="9216" width="8.875" style="120"/>
    <col min="9217" max="9217" width="29.25" style="120" customWidth="1"/>
    <col min="9218" max="9218" width="13.875" style="120" customWidth="1"/>
    <col min="9219" max="9226" width="9.75" style="120" customWidth="1"/>
    <col min="9227" max="9227" width="10.375" style="120" customWidth="1"/>
    <col min="9228" max="9230" width="9.75" style="120" customWidth="1"/>
    <col min="9231" max="9231" width="12.375" style="120" bestFit="1" customWidth="1"/>
    <col min="9232" max="9243" width="9.75" style="120" customWidth="1"/>
    <col min="9244" max="9244" width="15.875" style="120" bestFit="1" customWidth="1"/>
    <col min="9245" max="9245" width="8.875" style="120" customWidth="1"/>
    <col min="9246" max="9472" width="8.875" style="120"/>
    <col min="9473" max="9473" width="29.25" style="120" customWidth="1"/>
    <col min="9474" max="9474" width="13.875" style="120" customWidth="1"/>
    <col min="9475" max="9482" width="9.75" style="120" customWidth="1"/>
    <col min="9483" max="9483" width="10.375" style="120" customWidth="1"/>
    <col min="9484" max="9486" width="9.75" style="120" customWidth="1"/>
    <col min="9487" max="9487" width="12.375" style="120" bestFit="1" customWidth="1"/>
    <col min="9488" max="9499" width="9.75" style="120" customWidth="1"/>
    <col min="9500" max="9500" width="15.875" style="120" bestFit="1" customWidth="1"/>
    <col min="9501" max="9501" width="8.875" style="120" customWidth="1"/>
    <col min="9502" max="9728" width="8.875" style="120"/>
    <col min="9729" max="9729" width="29.25" style="120" customWidth="1"/>
    <col min="9730" max="9730" width="13.875" style="120" customWidth="1"/>
    <col min="9731" max="9738" width="9.75" style="120" customWidth="1"/>
    <col min="9739" max="9739" width="10.375" style="120" customWidth="1"/>
    <col min="9740" max="9742" width="9.75" style="120" customWidth="1"/>
    <col min="9743" max="9743" width="12.375" style="120" bestFit="1" customWidth="1"/>
    <col min="9744" max="9755" width="9.75" style="120" customWidth="1"/>
    <col min="9756" max="9756" width="15.875" style="120" bestFit="1" customWidth="1"/>
    <col min="9757" max="9757" width="8.875" style="120" customWidth="1"/>
    <col min="9758" max="9984" width="8.875" style="120"/>
    <col min="9985" max="9985" width="29.25" style="120" customWidth="1"/>
    <col min="9986" max="9986" width="13.875" style="120" customWidth="1"/>
    <col min="9987" max="9994" width="9.75" style="120" customWidth="1"/>
    <col min="9995" max="9995" width="10.375" style="120" customWidth="1"/>
    <col min="9996" max="9998" width="9.75" style="120" customWidth="1"/>
    <col min="9999" max="9999" width="12.375" style="120" bestFit="1" customWidth="1"/>
    <col min="10000" max="10011" width="9.75" style="120" customWidth="1"/>
    <col min="10012" max="10012" width="15.875" style="120" bestFit="1" customWidth="1"/>
    <col min="10013" max="10013" width="8.875" style="120" customWidth="1"/>
    <col min="10014" max="10240" width="8.875" style="120"/>
    <col min="10241" max="10241" width="29.25" style="120" customWidth="1"/>
    <col min="10242" max="10242" width="13.875" style="120" customWidth="1"/>
    <col min="10243" max="10250" width="9.75" style="120" customWidth="1"/>
    <col min="10251" max="10251" width="10.375" style="120" customWidth="1"/>
    <col min="10252" max="10254" width="9.75" style="120" customWidth="1"/>
    <col min="10255" max="10255" width="12.375" style="120" bestFit="1" customWidth="1"/>
    <col min="10256" max="10267" width="9.75" style="120" customWidth="1"/>
    <col min="10268" max="10268" width="15.875" style="120" bestFit="1" customWidth="1"/>
    <col min="10269" max="10269" width="8.875" style="120" customWidth="1"/>
    <col min="10270" max="10496" width="8.875" style="120"/>
    <col min="10497" max="10497" width="29.25" style="120" customWidth="1"/>
    <col min="10498" max="10498" width="13.875" style="120" customWidth="1"/>
    <col min="10499" max="10506" width="9.75" style="120" customWidth="1"/>
    <col min="10507" max="10507" width="10.375" style="120" customWidth="1"/>
    <col min="10508" max="10510" width="9.75" style="120" customWidth="1"/>
    <col min="10511" max="10511" width="12.375" style="120" bestFit="1" customWidth="1"/>
    <col min="10512" max="10523" width="9.75" style="120" customWidth="1"/>
    <col min="10524" max="10524" width="15.875" style="120" bestFit="1" customWidth="1"/>
    <col min="10525" max="10525" width="8.875" style="120" customWidth="1"/>
    <col min="10526" max="10752" width="8.875" style="120"/>
    <col min="10753" max="10753" width="29.25" style="120" customWidth="1"/>
    <col min="10754" max="10754" width="13.875" style="120" customWidth="1"/>
    <col min="10755" max="10762" width="9.75" style="120" customWidth="1"/>
    <col min="10763" max="10763" width="10.375" style="120" customWidth="1"/>
    <col min="10764" max="10766" width="9.75" style="120" customWidth="1"/>
    <col min="10767" max="10767" width="12.375" style="120" bestFit="1" customWidth="1"/>
    <col min="10768" max="10779" width="9.75" style="120" customWidth="1"/>
    <col min="10780" max="10780" width="15.875" style="120" bestFit="1" customWidth="1"/>
    <col min="10781" max="10781" width="8.875" style="120" customWidth="1"/>
    <col min="10782" max="11008" width="8.875" style="120"/>
    <col min="11009" max="11009" width="29.25" style="120" customWidth="1"/>
    <col min="11010" max="11010" width="13.875" style="120" customWidth="1"/>
    <col min="11011" max="11018" width="9.75" style="120" customWidth="1"/>
    <col min="11019" max="11019" width="10.375" style="120" customWidth="1"/>
    <col min="11020" max="11022" width="9.75" style="120" customWidth="1"/>
    <col min="11023" max="11023" width="12.375" style="120" bestFit="1" customWidth="1"/>
    <col min="11024" max="11035" width="9.75" style="120" customWidth="1"/>
    <col min="11036" max="11036" width="15.875" style="120" bestFit="1" customWidth="1"/>
    <col min="11037" max="11037" width="8.875" style="120" customWidth="1"/>
    <col min="11038" max="11264" width="8.875" style="120"/>
    <col min="11265" max="11265" width="29.25" style="120" customWidth="1"/>
    <col min="11266" max="11266" width="13.875" style="120" customWidth="1"/>
    <col min="11267" max="11274" width="9.75" style="120" customWidth="1"/>
    <col min="11275" max="11275" width="10.375" style="120" customWidth="1"/>
    <col min="11276" max="11278" width="9.75" style="120" customWidth="1"/>
    <col min="11279" max="11279" width="12.375" style="120" bestFit="1" customWidth="1"/>
    <col min="11280" max="11291" width="9.75" style="120" customWidth="1"/>
    <col min="11292" max="11292" width="15.875" style="120" bestFit="1" customWidth="1"/>
    <col min="11293" max="11293" width="8.875" style="120" customWidth="1"/>
    <col min="11294" max="11520" width="8.875" style="120"/>
    <col min="11521" max="11521" width="29.25" style="120" customWidth="1"/>
    <col min="11522" max="11522" width="13.875" style="120" customWidth="1"/>
    <col min="11523" max="11530" width="9.75" style="120" customWidth="1"/>
    <col min="11531" max="11531" width="10.375" style="120" customWidth="1"/>
    <col min="11532" max="11534" width="9.75" style="120" customWidth="1"/>
    <col min="11535" max="11535" width="12.375" style="120" bestFit="1" customWidth="1"/>
    <col min="11536" max="11547" width="9.75" style="120" customWidth="1"/>
    <col min="11548" max="11548" width="15.875" style="120" bestFit="1" customWidth="1"/>
    <col min="11549" max="11549" width="8.875" style="120" customWidth="1"/>
    <col min="11550" max="11776" width="8.875" style="120"/>
    <col min="11777" max="11777" width="29.25" style="120" customWidth="1"/>
    <col min="11778" max="11778" width="13.875" style="120" customWidth="1"/>
    <col min="11779" max="11786" width="9.75" style="120" customWidth="1"/>
    <col min="11787" max="11787" width="10.375" style="120" customWidth="1"/>
    <col min="11788" max="11790" width="9.75" style="120" customWidth="1"/>
    <col min="11791" max="11791" width="12.375" style="120" bestFit="1" customWidth="1"/>
    <col min="11792" max="11803" width="9.75" style="120" customWidth="1"/>
    <col min="11804" max="11804" width="15.875" style="120" bestFit="1" customWidth="1"/>
    <col min="11805" max="11805" width="8.875" style="120" customWidth="1"/>
    <col min="11806" max="12032" width="8.875" style="120"/>
    <col min="12033" max="12033" width="29.25" style="120" customWidth="1"/>
    <col min="12034" max="12034" width="13.875" style="120" customWidth="1"/>
    <col min="12035" max="12042" width="9.75" style="120" customWidth="1"/>
    <col min="12043" max="12043" width="10.375" style="120" customWidth="1"/>
    <col min="12044" max="12046" width="9.75" style="120" customWidth="1"/>
    <col min="12047" max="12047" width="12.375" style="120" bestFit="1" customWidth="1"/>
    <col min="12048" max="12059" width="9.75" style="120" customWidth="1"/>
    <col min="12060" max="12060" width="15.875" style="120" bestFit="1" customWidth="1"/>
    <col min="12061" max="12061" width="8.875" style="120" customWidth="1"/>
    <col min="12062" max="12288" width="8.875" style="120"/>
    <col min="12289" max="12289" width="29.25" style="120" customWidth="1"/>
    <col min="12290" max="12290" width="13.875" style="120" customWidth="1"/>
    <col min="12291" max="12298" width="9.75" style="120" customWidth="1"/>
    <col min="12299" max="12299" width="10.375" style="120" customWidth="1"/>
    <col min="12300" max="12302" width="9.75" style="120" customWidth="1"/>
    <col min="12303" max="12303" width="12.375" style="120" bestFit="1" customWidth="1"/>
    <col min="12304" max="12315" width="9.75" style="120" customWidth="1"/>
    <col min="12316" max="12316" width="15.875" style="120" bestFit="1" customWidth="1"/>
    <col min="12317" max="12317" width="8.875" style="120" customWidth="1"/>
    <col min="12318" max="12544" width="8.875" style="120"/>
    <col min="12545" max="12545" width="29.25" style="120" customWidth="1"/>
    <col min="12546" max="12546" width="13.875" style="120" customWidth="1"/>
    <col min="12547" max="12554" width="9.75" style="120" customWidth="1"/>
    <col min="12555" max="12555" width="10.375" style="120" customWidth="1"/>
    <col min="12556" max="12558" width="9.75" style="120" customWidth="1"/>
    <col min="12559" max="12559" width="12.375" style="120" bestFit="1" customWidth="1"/>
    <col min="12560" max="12571" width="9.75" style="120" customWidth="1"/>
    <col min="12572" max="12572" width="15.875" style="120" bestFit="1" customWidth="1"/>
    <col min="12573" max="12573" width="8.875" style="120" customWidth="1"/>
    <col min="12574" max="12800" width="8.875" style="120"/>
    <col min="12801" max="12801" width="29.25" style="120" customWidth="1"/>
    <col min="12802" max="12802" width="13.875" style="120" customWidth="1"/>
    <col min="12803" max="12810" width="9.75" style="120" customWidth="1"/>
    <col min="12811" max="12811" width="10.375" style="120" customWidth="1"/>
    <col min="12812" max="12814" width="9.75" style="120" customWidth="1"/>
    <col min="12815" max="12815" width="12.375" style="120" bestFit="1" customWidth="1"/>
    <col min="12816" max="12827" width="9.75" style="120" customWidth="1"/>
    <col min="12828" max="12828" width="15.875" style="120" bestFit="1" customWidth="1"/>
    <col min="12829" max="12829" width="8.875" style="120" customWidth="1"/>
    <col min="12830" max="13056" width="8.875" style="120"/>
    <col min="13057" max="13057" width="29.25" style="120" customWidth="1"/>
    <col min="13058" max="13058" width="13.875" style="120" customWidth="1"/>
    <col min="13059" max="13066" width="9.75" style="120" customWidth="1"/>
    <col min="13067" max="13067" width="10.375" style="120" customWidth="1"/>
    <col min="13068" max="13070" width="9.75" style="120" customWidth="1"/>
    <col min="13071" max="13071" width="12.375" style="120" bestFit="1" customWidth="1"/>
    <col min="13072" max="13083" width="9.75" style="120" customWidth="1"/>
    <col min="13084" max="13084" width="15.875" style="120" bestFit="1" customWidth="1"/>
    <col min="13085" max="13085" width="8.875" style="120" customWidth="1"/>
    <col min="13086" max="13312" width="8.875" style="120"/>
    <col min="13313" max="13313" width="29.25" style="120" customWidth="1"/>
    <col min="13314" max="13314" width="13.875" style="120" customWidth="1"/>
    <col min="13315" max="13322" width="9.75" style="120" customWidth="1"/>
    <col min="13323" max="13323" width="10.375" style="120" customWidth="1"/>
    <col min="13324" max="13326" width="9.75" style="120" customWidth="1"/>
    <col min="13327" max="13327" width="12.375" style="120" bestFit="1" customWidth="1"/>
    <col min="13328" max="13339" width="9.75" style="120" customWidth="1"/>
    <col min="13340" max="13340" width="15.875" style="120" bestFit="1" customWidth="1"/>
    <col min="13341" max="13341" width="8.875" style="120" customWidth="1"/>
    <col min="13342" max="13568" width="8.875" style="120"/>
    <col min="13569" max="13569" width="29.25" style="120" customWidth="1"/>
    <col min="13570" max="13570" width="13.875" style="120" customWidth="1"/>
    <col min="13571" max="13578" width="9.75" style="120" customWidth="1"/>
    <col min="13579" max="13579" width="10.375" style="120" customWidth="1"/>
    <col min="13580" max="13582" width="9.75" style="120" customWidth="1"/>
    <col min="13583" max="13583" width="12.375" style="120" bestFit="1" customWidth="1"/>
    <col min="13584" max="13595" width="9.75" style="120" customWidth="1"/>
    <col min="13596" max="13596" width="15.875" style="120" bestFit="1" customWidth="1"/>
    <col min="13597" max="13597" width="8.875" style="120" customWidth="1"/>
    <col min="13598" max="13824" width="8.875" style="120"/>
    <col min="13825" max="13825" width="29.25" style="120" customWidth="1"/>
    <col min="13826" max="13826" width="13.875" style="120" customWidth="1"/>
    <col min="13827" max="13834" width="9.75" style="120" customWidth="1"/>
    <col min="13835" max="13835" width="10.375" style="120" customWidth="1"/>
    <col min="13836" max="13838" width="9.75" style="120" customWidth="1"/>
    <col min="13839" max="13839" width="12.375" style="120" bestFit="1" customWidth="1"/>
    <col min="13840" max="13851" width="9.75" style="120" customWidth="1"/>
    <col min="13852" max="13852" width="15.875" style="120" bestFit="1" customWidth="1"/>
    <col min="13853" max="13853" width="8.875" style="120" customWidth="1"/>
    <col min="13854" max="14080" width="8.875" style="120"/>
    <col min="14081" max="14081" width="29.25" style="120" customWidth="1"/>
    <col min="14082" max="14082" width="13.875" style="120" customWidth="1"/>
    <col min="14083" max="14090" width="9.75" style="120" customWidth="1"/>
    <col min="14091" max="14091" width="10.375" style="120" customWidth="1"/>
    <col min="14092" max="14094" width="9.75" style="120" customWidth="1"/>
    <col min="14095" max="14095" width="12.375" style="120" bestFit="1" customWidth="1"/>
    <col min="14096" max="14107" width="9.75" style="120" customWidth="1"/>
    <col min="14108" max="14108" width="15.875" style="120" bestFit="1" customWidth="1"/>
    <col min="14109" max="14109" width="8.875" style="120" customWidth="1"/>
    <col min="14110" max="14336" width="8.875" style="120"/>
    <col min="14337" max="14337" width="29.25" style="120" customWidth="1"/>
    <col min="14338" max="14338" width="13.875" style="120" customWidth="1"/>
    <col min="14339" max="14346" width="9.75" style="120" customWidth="1"/>
    <col min="14347" max="14347" width="10.375" style="120" customWidth="1"/>
    <col min="14348" max="14350" width="9.75" style="120" customWidth="1"/>
    <col min="14351" max="14351" width="12.375" style="120" bestFit="1" customWidth="1"/>
    <col min="14352" max="14363" width="9.75" style="120" customWidth="1"/>
    <col min="14364" max="14364" width="15.875" style="120" bestFit="1" customWidth="1"/>
    <col min="14365" max="14365" width="8.875" style="120" customWidth="1"/>
    <col min="14366" max="14592" width="8.875" style="120"/>
    <col min="14593" max="14593" width="29.25" style="120" customWidth="1"/>
    <col min="14594" max="14594" width="13.875" style="120" customWidth="1"/>
    <col min="14595" max="14602" width="9.75" style="120" customWidth="1"/>
    <col min="14603" max="14603" width="10.375" style="120" customWidth="1"/>
    <col min="14604" max="14606" width="9.75" style="120" customWidth="1"/>
    <col min="14607" max="14607" width="12.375" style="120" bestFit="1" customWidth="1"/>
    <col min="14608" max="14619" width="9.75" style="120" customWidth="1"/>
    <col min="14620" max="14620" width="15.875" style="120" bestFit="1" customWidth="1"/>
    <col min="14621" max="14621" width="8.875" style="120" customWidth="1"/>
    <col min="14622" max="14848" width="8.875" style="120"/>
    <col min="14849" max="14849" width="29.25" style="120" customWidth="1"/>
    <col min="14850" max="14850" width="13.875" style="120" customWidth="1"/>
    <col min="14851" max="14858" width="9.75" style="120" customWidth="1"/>
    <col min="14859" max="14859" width="10.375" style="120" customWidth="1"/>
    <col min="14860" max="14862" width="9.75" style="120" customWidth="1"/>
    <col min="14863" max="14863" width="12.375" style="120" bestFit="1" customWidth="1"/>
    <col min="14864" max="14875" width="9.75" style="120" customWidth="1"/>
    <col min="14876" max="14876" width="15.875" style="120" bestFit="1" customWidth="1"/>
    <col min="14877" max="14877" width="8.875" style="120" customWidth="1"/>
    <col min="14878" max="15104" width="8.875" style="120"/>
    <col min="15105" max="15105" width="29.25" style="120" customWidth="1"/>
    <col min="15106" max="15106" width="13.875" style="120" customWidth="1"/>
    <col min="15107" max="15114" width="9.75" style="120" customWidth="1"/>
    <col min="15115" max="15115" width="10.375" style="120" customWidth="1"/>
    <col min="15116" max="15118" width="9.75" style="120" customWidth="1"/>
    <col min="15119" max="15119" width="12.375" style="120" bestFit="1" customWidth="1"/>
    <col min="15120" max="15131" width="9.75" style="120" customWidth="1"/>
    <col min="15132" max="15132" width="15.875" style="120" bestFit="1" customWidth="1"/>
    <col min="15133" max="15133" width="8.875" style="120" customWidth="1"/>
    <col min="15134" max="15360" width="8.875" style="120"/>
    <col min="15361" max="15361" width="29.25" style="120" customWidth="1"/>
    <col min="15362" max="15362" width="13.875" style="120" customWidth="1"/>
    <col min="15363" max="15370" width="9.75" style="120" customWidth="1"/>
    <col min="15371" max="15371" width="10.375" style="120" customWidth="1"/>
    <col min="15372" max="15374" width="9.75" style="120" customWidth="1"/>
    <col min="15375" max="15375" width="12.375" style="120" bestFit="1" customWidth="1"/>
    <col min="15376" max="15387" width="9.75" style="120" customWidth="1"/>
    <col min="15388" max="15388" width="15.875" style="120" bestFit="1" customWidth="1"/>
    <col min="15389" max="15389" width="8.875" style="120" customWidth="1"/>
    <col min="15390" max="15616" width="8.875" style="120"/>
    <col min="15617" max="15617" width="29.25" style="120" customWidth="1"/>
    <col min="15618" max="15618" width="13.875" style="120" customWidth="1"/>
    <col min="15619" max="15626" width="9.75" style="120" customWidth="1"/>
    <col min="15627" max="15627" width="10.375" style="120" customWidth="1"/>
    <col min="15628" max="15630" width="9.75" style="120" customWidth="1"/>
    <col min="15631" max="15631" width="12.375" style="120" bestFit="1" customWidth="1"/>
    <col min="15632" max="15643" width="9.75" style="120" customWidth="1"/>
    <col min="15644" max="15644" width="15.875" style="120" bestFit="1" customWidth="1"/>
    <col min="15645" max="15645" width="8.875" style="120" customWidth="1"/>
    <col min="15646" max="15872" width="8.875" style="120"/>
    <col min="15873" max="15873" width="29.25" style="120" customWidth="1"/>
    <col min="15874" max="15874" width="13.875" style="120" customWidth="1"/>
    <col min="15875" max="15882" width="9.75" style="120" customWidth="1"/>
    <col min="15883" max="15883" width="10.375" style="120" customWidth="1"/>
    <col min="15884" max="15886" width="9.75" style="120" customWidth="1"/>
    <col min="15887" max="15887" width="12.375" style="120" bestFit="1" customWidth="1"/>
    <col min="15888" max="15899" width="9.75" style="120" customWidth="1"/>
    <col min="15900" max="15900" width="15.875" style="120" bestFit="1" customWidth="1"/>
    <col min="15901" max="15901" width="8.875" style="120" customWidth="1"/>
    <col min="15902" max="16128" width="8.875" style="120"/>
    <col min="16129" max="16129" width="29.25" style="120" customWidth="1"/>
    <col min="16130" max="16130" width="13.875" style="120" customWidth="1"/>
    <col min="16131" max="16138" width="9.75" style="120" customWidth="1"/>
    <col min="16139" max="16139" width="10.375" style="120" customWidth="1"/>
    <col min="16140" max="16142" width="9.75" style="120" customWidth="1"/>
    <col min="16143" max="16143" width="12.375" style="120" bestFit="1" customWidth="1"/>
    <col min="16144" max="16155" width="9.75" style="120" customWidth="1"/>
    <col min="16156" max="16156" width="15.875" style="120" bestFit="1" customWidth="1"/>
    <col min="16157" max="16157" width="8.875" style="120" customWidth="1"/>
    <col min="16158" max="16384" width="8.875" style="120"/>
  </cols>
  <sheetData>
    <row r="1" spans="1:28" x14ac:dyDescent="0.35">
      <c r="B1" s="393" t="s">
        <v>195</v>
      </c>
      <c r="C1" s="378"/>
      <c r="E1" s="378"/>
      <c r="F1" s="378"/>
      <c r="G1" s="378"/>
      <c r="H1" s="378"/>
      <c r="I1" s="118"/>
      <c r="J1" s="118"/>
      <c r="N1" s="118"/>
      <c r="O1" s="118"/>
      <c r="P1" s="379"/>
      <c r="Q1" s="379"/>
      <c r="R1" s="118"/>
      <c r="S1" s="118"/>
    </row>
    <row r="2" spans="1:28" x14ac:dyDescent="0.35">
      <c r="C2" s="118"/>
      <c r="E2" s="118"/>
      <c r="F2" s="118"/>
      <c r="G2" s="118"/>
      <c r="H2" s="292"/>
      <c r="I2" s="118"/>
      <c r="J2" s="118"/>
      <c r="N2" s="118"/>
      <c r="O2" s="118"/>
      <c r="P2" s="118"/>
      <c r="R2" s="118"/>
      <c r="S2" s="118"/>
    </row>
    <row r="3" spans="1:28" ht="19.5" customHeight="1" x14ac:dyDescent="0.35">
      <c r="B3" s="380" t="s">
        <v>7</v>
      </c>
      <c r="C3" s="380" t="s">
        <v>8</v>
      </c>
      <c r="E3" s="118"/>
      <c r="F3" s="118"/>
      <c r="G3" s="118"/>
      <c r="H3" s="292"/>
      <c r="I3" s="118"/>
      <c r="J3" s="118"/>
      <c r="N3" s="118"/>
      <c r="O3" s="118"/>
      <c r="P3" s="118"/>
      <c r="R3" s="118"/>
      <c r="S3" s="118"/>
    </row>
    <row r="4" spans="1:28" ht="19.5" customHeight="1" x14ac:dyDescent="0.35">
      <c r="B4" s="118" t="str">
        <f>IF(ISBLANK(Directions!C6), "Owner", Directions!C6)</f>
        <v>Owner</v>
      </c>
      <c r="C4" s="118" t="str">
        <f>IF(ISBLANK(Directions!D6), "Company 1", Directions!D6)</f>
        <v>Company 1</v>
      </c>
      <c r="E4" s="118"/>
      <c r="F4" s="118"/>
      <c r="G4" s="118"/>
      <c r="H4" s="292"/>
      <c r="I4" s="118"/>
      <c r="J4" s="118"/>
      <c r="N4" s="118"/>
      <c r="O4" s="118"/>
      <c r="P4" s="118"/>
      <c r="R4" s="118"/>
      <c r="S4" s="118"/>
    </row>
    <row r="6" spans="1:28" ht="16.5" thickBot="1" x14ac:dyDescent="0.4">
      <c r="A6" s="129"/>
      <c r="B6" s="129" t="s">
        <v>90</v>
      </c>
      <c r="C6" s="129" t="str">
        <f>'3a-SalesForecastYear1'!C16</f>
        <v>Month 1</v>
      </c>
      <c r="D6" s="129" t="str">
        <f>'3a-SalesForecastYear1'!D16</f>
        <v>Month 2</v>
      </c>
      <c r="E6" s="129" t="str">
        <f>'3a-SalesForecastYear1'!E16</f>
        <v>Month 3</v>
      </c>
      <c r="F6" s="129" t="str">
        <f>'3a-SalesForecastYear1'!F16</f>
        <v>Month 4</v>
      </c>
      <c r="G6" s="129" t="str">
        <f>'3a-SalesForecastYear1'!G16</f>
        <v>Month 5</v>
      </c>
      <c r="H6" s="129" t="str">
        <f>'3a-SalesForecastYear1'!H16</f>
        <v>Month 6</v>
      </c>
      <c r="I6" s="129" t="str">
        <f>'3a-SalesForecastYear1'!I16</f>
        <v>Month 7</v>
      </c>
      <c r="J6" s="129" t="str">
        <f>'3a-SalesForecastYear1'!J16</f>
        <v>Month 8</v>
      </c>
      <c r="K6" s="129" t="str">
        <f>'3a-SalesForecastYear1'!K16</f>
        <v>Month 9</v>
      </c>
      <c r="L6" s="129" t="str">
        <f>'3a-SalesForecastYear1'!L16</f>
        <v>Month 10</v>
      </c>
      <c r="M6" s="129" t="str">
        <f>'3a-SalesForecastYear1'!M16</f>
        <v>Month 11</v>
      </c>
      <c r="N6" s="129" t="str">
        <f>'3a-SalesForecastYear1'!N16</f>
        <v>Month 12</v>
      </c>
      <c r="O6" s="129" t="s">
        <v>112</v>
      </c>
      <c r="P6" s="129" t="str">
        <f>C6</f>
        <v>Month 1</v>
      </c>
      <c r="Q6" s="129" t="str">
        <f t="shared" ref="Q6:AA6" si="0">D6</f>
        <v>Month 2</v>
      </c>
      <c r="R6" s="129" t="str">
        <f t="shared" si="0"/>
        <v>Month 3</v>
      </c>
      <c r="S6" s="129" t="str">
        <f t="shared" si="0"/>
        <v>Month 4</v>
      </c>
      <c r="T6" s="129" t="str">
        <f t="shared" si="0"/>
        <v>Month 5</v>
      </c>
      <c r="U6" s="129" t="str">
        <f t="shared" si="0"/>
        <v>Month 6</v>
      </c>
      <c r="V6" s="129" t="str">
        <f t="shared" si="0"/>
        <v>Month 7</v>
      </c>
      <c r="W6" s="129" t="str">
        <f t="shared" si="0"/>
        <v>Month 8</v>
      </c>
      <c r="X6" s="129" t="str">
        <f t="shared" si="0"/>
        <v>Month 9</v>
      </c>
      <c r="Y6" s="129" t="str">
        <f t="shared" si="0"/>
        <v>Month 10</v>
      </c>
      <c r="Z6" s="129" t="str">
        <f t="shared" si="0"/>
        <v>Month 11</v>
      </c>
      <c r="AA6" s="129" t="str">
        <f t="shared" si="0"/>
        <v>Month 12</v>
      </c>
      <c r="AB6" s="129" t="s">
        <v>113</v>
      </c>
    </row>
    <row r="7" spans="1:28" ht="16.5" thickTop="1" x14ac:dyDescent="0.35">
      <c r="A7" s="381" t="s">
        <v>169</v>
      </c>
      <c r="B7" s="381"/>
      <c r="C7" s="375">
        <f>Y1EndingCashBal</f>
        <v>0</v>
      </c>
      <c r="D7" s="382">
        <f t="shared" ref="D7:N7" si="1">C32</f>
        <v>0</v>
      </c>
      <c r="E7" s="382">
        <f>D32</f>
        <v>0</v>
      </c>
      <c r="F7" s="382">
        <f t="shared" si="1"/>
        <v>0</v>
      </c>
      <c r="G7" s="382">
        <f t="shared" si="1"/>
        <v>0</v>
      </c>
      <c r="H7" s="382">
        <f t="shared" si="1"/>
        <v>0</v>
      </c>
      <c r="I7" s="382">
        <f t="shared" si="1"/>
        <v>0</v>
      </c>
      <c r="J7" s="382">
        <f t="shared" si="1"/>
        <v>0</v>
      </c>
      <c r="K7" s="382">
        <f t="shared" si="1"/>
        <v>0</v>
      </c>
      <c r="L7" s="382">
        <f t="shared" si="1"/>
        <v>0</v>
      </c>
      <c r="M7" s="382">
        <f t="shared" si="1"/>
        <v>0</v>
      </c>
      <c r="N7" s="382">
        <f t="shared" si="1"/>
        <v>0</v>
      </c>
      <c r="O7" s="394"/>
      <c r="P7" s="375">
        <f>N32</f>
        <v>0</v>
      </c>
      <c r="Q7" s="382">
        <f>P32</f>
        <v>0</v>
      </c>
      <c r="R7" s="382">
        <f t="shared" ref="R7:AA7" si="2">Q32</f>
        <v>0</v>
      </c>
      <c r="S7" s="382">
        <f t="shared" si="2"/>
        <v>0</v>
      </c>
      <c r="T7" s="382">
        <f t="shared" si="2"/>
        <v>0</v>
      </c>
      <c r="U7" s="382">
        <f t="shared" si="2"/>
        <v>0</v>
      </c>
      <c r="V7" s="382">
        <f t="shared" si="2"/>
        <v>0</v>
      </c>
      <c r="W7" s="382">
        <f t="shared" si="2"/>
        <v>0</v>
      </c>
      <c r="X7" s="382">
        <f t="shared" si="2"/>
        <v>0</v>
      </c>
      <c r="Y7" s="382">
        <f t="shared" si="2"/>
        <v>0</v>
      </c>
      <c r="Z7" s="382">
        <f t="shared" si="2"/>
        <v>0</v>
      </c>
      <c r="AA7" s="382">
        <f t="shared" si="2"/>
        <v>0</v>
      </c>
      <c r="AB7" s="394"/>
    </row>
    <row r="8" spans="1:28" x14ac:dyDescent="0.35">
      <c r="A8" s="384" t="s">
        <v>170</v>
      </c>
      <c r="B8" s="384"/>
      <c r="C8" s="385"/>
      <c r="D8" s="385"/>
      <c r="E8" s="385"/>
      <c r="F8" s="385"/>
      <c r="G8" s="385"/>
      <c r="H8" s="385"/>
      <c r="I8" s="385"/>
      <c r="J8" s="385"/>
      <c r="K8" s="385"/>
      <c r="L8" s="385"/>
      <c r="M8" s="385"/>
      <c r="N8" s="385"/>
      <c r="O8" s="395"/>
      <c r="P8" s="385"/>
      <c r="Q8" s="385"/>
      <c r="R8" s="385"/>
      <c r="S8" s="385"/>
      <c r="T8" s="385"/>
      <c r="U8" s="385"/>
      <c r="V8" s="385"/>
      <c r="W8" s="385"/>
      <c r="X8" s="385"/>
      <c r="Y8" s="385"/>
      <c r="Z8" s="385"/>
      <c r="AA8" s="385"/>
      <c r="AB8" s="395"/>
    </row>
    <row r="9" spans="1:28" x14ac:dyDescent="0.35">
      <c r="A9" s="386" t="s">
        <v>171</v>
      </c>
      <c r="B9" s="396">
        <f>'6a-CashFlowYear1'!O10</f>
        <v>0</v>
      </c>
      <c r="C9" s="186">
        <f>('3b-SalesForecastYrs1-3'!C47*'4-AdditionalInputs'!$D$9)</f>
        <v>0</v>
      </c>
      <c r="D9" s="186">
        <f>('3b-SalesForecastYrs1-3'!D47*'4-AdditionalInputs'!$D$9)</f>
        <v>0</v>
      </c>
      <c r="E9" s="186">
        <f>('3b-SalesForecastYrs1-3'!E47*'4-AdditionalInputs'!$D$9)</f>
        <v>0</v>
      </c>
      <c r="F9" s="186">
        <f>('3b-SalesForecastYrs1-3'!F47*'4-AdditionalInputs'!$D$9)</f>
        <v>0</v>
      </c>
      <c r="G9" s="186">
        <f>('3b-SalesForecastYrs1-3'!G47*'4-AdditionalInputs'!$D$9)</f>
        <v>0</v>
      </c>
      <c r="H9" s="186">
        <f>('3b-SalesForecastYrs1-3'!H47*'4-AdditionalInputs'!$D$9)</f>
        <v>0</v>
      </c>
      <c r="I9" s="186">
        <f>('3b-SalesForecastYrs1-3'!I47*'4-AdditionalInputs'!$D$9)</f>
        <v>0</v>
      </c>
      <c r="J9" s="186">
        <f>('3b-SalesForecastYrs1-3'!J47*'4-AdditionalInputs'!$D$9)</f>
        <v>0</v>
      </c>
      <c r="K9" s="186">
        <f>('3b-SalesForecastYrs1-3'!K47*'4-AdditionalInputs'!$D$9)</f>
        <v>0</v>
      </c>
      <c r="L9" s="186">
        <f>('3b-SalesForecastYrs1-3'!L47*'4-AdditionalInputs'!$D$9)</f>
        <v>0</v>
      </c>
      <c r="M9" s="186">
        <f>('3b-SalesForecastYrs1-3'!M47*'4-AdditionalInputs'!$D$9)</f>
        <v>0</v>
      </c>
      <c r="N9" s="186">
        <f>('3b-SalesForecastYrs1-3'!N47*'4-AdditionalInputs'!$D$9)</f>
        <v>0</v>
      </c>
      <c r="O9" s="397">
        <f>SUM(C9:N9)</f>
        <v>0</v>
      </c>
      <c r="P9" s="186">
        <f>('3b-SalesForecastYrs1-3'!R47*'4-AdditionalInputs'!$E$9)</f>
        <v>0</v>
      </c>
      <c r="Q9" s="186">
        <f>('3b-SalesForecastYrs1-3'!S47*'4-AdditionalInputs'!$E$9)</f>
        <v>0</v>
      </c>
      <c r="R9" s="186">
        <f>('3b-SalesForecastYrs1-3'!T47*'4-AdditionalInputs'!$E$9)</f>
        <v>0</v>
      </c>
      <c r="S9" s="186">
        <f>('3b-SalesForecastYrs1-3'!U47*'4-AdditionalInputs'!$E$9)</f>
        <v>0</v>
      </c>
      <c r="T9" s="186">
        <f>('3b-SalesForecastYrs1-3'!V47*'4-AdditionalInputs'!$E$9)</f>
        <v>0</v>
      </c>
      <c r="U9" s="186">
        <f>('3b-SalesForecastYrs1-3'!W47*'4-AdditionalInputs'!$E$9)</f>
        <v>0</v>
      </c>
      <c r="V9" s="186">
        <f>('3b-SalesForecastYrs1-3'!X47*'4-AdditionalInputs'!$E$9)</f>
        <v>0</v>
      </c>
      <c r="W9" s="186">
        <f>('3b-SalesForecastYrs1-3'!Y47*'4-AdditionalInputs'!$E$9)</f>
        <v>0</v>
      </c>
      <c r="X9" s="186">
        <f>('3b-SalesForecastYrs1-3'!Z47*'4-AdditionalInputs'!$E$9)</f>
        <v>0</v>
      </c>
      <c r="Y9" s="186">
        <f>('3b-SalesForecastYrs1-3'!AA47*'4-AdditionalInputs'!$E$9)</f>
        <v>0</v>
      </c>
      <c r="Z9" s="186">
        <f>('3b-SalesForecastYrs1-3'!AB47*'4-AdditionalInputs'!$E$9)</f>
        <v>0</v>
      </c>
      <c r="AA9" s="186">
        <f>('3b-SalesForecastYrs1-3'!AC47*'4-AdditionalInputs'!$E$9)</f>
        <v>0</v>
      </c>
      <c r="AB9" s="397">
        <f>SUM(P9:AA9)</f>
        <v>0</v>
      </c>
    </row>
    <row r="10" spans="1:28" x14ac:dyDescent="0.35">
      <c r="A10" s="386" t="s">
        <v>172</v>
      </c>
      <c r="B10" s="396">
        <f>'6a-CashFlowYear1'!O11</f>
        <v>0</v>
      </c>
      <c r="C10" s="186">
        <f>('3a-SalesForecastYear1'!M53*'4-AdditionalInputs'!D11)+('3a-SalesForecastYear1'!N53*'4-AdditionalInputs'!D10)</f>
        <v>0</v>
      </c>
      <c r="D10" s="186">
        <f>('3a-SalesForecastYear1'!N53*'4-AdditionalInputs'!$D$11)+('3b-SalesForecastYrs1-3'!C47*'4-AdditionalInputs'!$D$10)</f>
        <v>0</v>
      </c>
      <c r="E10" s="186">
        <f>('3b-SalesForecastYrs1-3'!C47*'4-AdditionalInputs'!$D$11)+('3b-SalesForecastYrs1-3'!D47*'4-AdditionalInputs'!$D$10)</f>
        <v>0</v>
      </c>
      <c r="F10" s="186">
        <f>('3b-SalesForecastYrs1-3'!D47*'4-AdditionalInputs'!$D$11)+('3b-SalesForecastYrs1-3'!E47*'4-AdditionalInputs'!$D$10)</f>
        <v>0</v>
      </c>
      <c r="G10" s="186">
        <f>('3b-SalesForecastYrs1-3'!E47*'4-AdditionalInputs'!$D$11)+('3b-SalesForecastYrs1-3'!F47*'4-AdditionalInputs'!$D$10)</f>
        <v>0</v>
      </c>
      <c r="H10" s="186">
        <f>('3b-SalesForecastYrs1-3'!F47*'4-AdditionalInputs'!$D$11)+('3b-SalesForecastYrs1-3'!G47*'4-AdditionalInputs'!$D$10)</f>
        <v>0</v>
      </c>
      <c r="I10" s="186">
        <f>('3b-SalesForecastYrs1-3'!G47*'4-AdditionalInputs'!$D$11)+('3b-SalesForecastYrs1-3'!H47*'4-AdditionalInputs'!$D$10)</f>
        <v>0</v>
      </c>
      <c r="J10" s="186">
        <f>('3b-SalesForecastYrs1-3'!H47*'4-AdditionalInputs'!$D$11)+('3b-SalesForecastYrs1-3'!I47*'4-AdditionalInputs'!$D$10)</f>
        <v>0</v>
      </c>
      <c r="K10" s="186">
        <f>('3b-SalesForecastYrs1-3'!I47*'4-AdditionalInputs'!$D$11)+('3b-SalesForecastYrs1-3'!J47*'4-AdditionalInputs'!$D$10)</f>
        <v>0</v>
      </c>
      <c r="L10" s="186">
        <f>('3b-SalesForecastYrs1-3'!J47*'4-AdditionalInputs'!$D$11)+('3b-SalesForecastYrs1-3'!K47*'4-AdditionalInputs'!$D$10)</f>
        <v>0</v>
      </c>
      <c r="M10" s="186">
        <f>('3b-SalesForecastYrs1-3'!K47*'4-AdditionalInputs'!$D$11)+('3b-SalesForecastYrs1-3'!L47*'4-AdditionalInputs'!$D$10)</f>
        <v>0</v>
      </c>
      <c r="N10" s="186">
        <f>('3b-SalesForecastYrs1-3'!L47*'4-AdditionalInputs'!$D$11)+('3b-SalesForecastYrs1-3'!M47*'4-AdditionalInputs'!$D$10)</f>
        <v>0</v>
      </c>
      <c r="O10" s="397">
        <f>SUM(C10:N10)</f>
        <v>0</v>
      </c>
      <c r="P10" s="186">
        <f>('3b-SalesForecastYrs1-3'!M47*'4-AdditionalInputs'!E11)+('3b-SalesForecastYrs1-3'!N47*'4-AdditionalInputs'!E10)</f>
        <v>0</v>
      </c>
      <c r="Q10" s="186">
        <f>('3b-SalesForecastYrs1-3'!N47*'4-AdditionalInputs'!E11)+('3b-SalesForecastYrs1-3'!R47*'4-AdditionalInputs'!E10)</f>
        <v>0</v>
      </c>
      <c r="R10" s="186">
        <f>('3b-SalesForecastYrs1-3'!R47*'4-AdditionalInputs'!$E$11)+('3b-SalesForecastYrs1-3'!S47*'4-AdditionalInputs'!$E$10)</f>
        <v>0</v>
      </c>
      <c r="S10" s="186">
        <f>('3b-SalesForecastYrs1-3'!S47*'4-AdditionalInputs'!$E$11)+('3b-SalesForecastYrs1-3'!T47*'4-AdditionalInputs'!$E$10)</f>
        <v>0</v>
      </c>
      <c r="T10" s="186">
        <f>('3b-SalesForecastYrs1-3'!T47*'4-AdditionalInputs'!$E$11)+('3b-SalesForecastYrs1-3'!U47*'4-AdditionalInputs'!$E$10)</f>
        <v>0</v>
      </c>
      <c r="U10" s="186">
        <f>('3b-SalesForecastYrs1-3'!U47*'4-AdditionalInputs'!$E$11)+('3b-SalesForecastYrs1-3'!V47*'4-AdditionalInputs'!$E$10)</f>
        <v>0</v>
      </c>
      <c r="V10" s="186">
        <f>('3b-SalesForecastYrs1-3'!V47*'4-AdditionalInputs'!$E$11)+('3b-SalesForecastYrs1-3'!W47*'4-AdditionalInputs'!$E$10)</f>
        <v>0</v>
      </c>
      <c r="W10" s="186">
        <f>('3b-SalesForecastYrs1-3'!W47*'4-AdditionalInputs'!$E$11)+('3b-SalesForecastYrs1-3'!X47*'4-AdditionalInputs'!$E$10)</f>
        <v>0</v>
      </c>
      <c r="X10" s="186">
        <f>('3b-SalesForecastYrs1-3'!X47*'4-AdditionalInputs'!$E$11)+('3b-SalesForecastYrs1-3'!Y47*'4-AdditionalInputs'!$E$10)</f>
        <v>0</v>
      </c>
      <c r="Y10" s="186">
        <f>('3b-SalesForecastYrs1-3'!Y47*'4-AdditionalInputs'!$E$11)+('3b-SalesForecastYrs1-3'!Z47*'4-AdditionalInputs'!$E$10)</f>
        <v>0</v>
      </c>
      <c r="Z10" s="186">
        <f>('3b-SalesForecastYrs1-3'!Z47*'4-AdditionalInputs'!$E$11)+('3b-SalesForecastYrs1-3'!AA47*'4-AdditionalInputs'!$E$10)</f>
        <v>0</v>
      </c>
      <c r="AA10" s="186">
        <f>('3b-SalesForecastYrs1-3'!AA47*'4-AdditionalInputs'!$E$11)+('3b-SalesForecastYrs1-3'!AB47*'4-AdditionalInputs'!$E$10)</f>
        <v>0</v>
      </c>
      <c r="AB10" s="397">
        <f>SUM(P10:AA10)</f>
        <v>0</v>
      </c>
    </row>
    <row r="11" spans="1:28" x14ac:dyDescent="0.35">
      <c r="A11" s="145" t="s">
        <v>173</v>
      </c>
      <c r="B11" s="396">
        <f>'6a-CashFlowYear1'!O12</f>
        <v>0</v>
      </c>
      <c r="C11" s="189">
        <f>SUM(C9:C10)</f>
        <v>0</v>
      </c>
      <c r="D11" s="189">
        <f t="shared" ref="D11:O11" si="3">SUM(D9:D10)</f>
        <v>0</v>
      </c>
      <c r="E11" s="189">
        <f t="shared" si="3"/>
        <v>0</v>
      </c>
      <c r="F11" s="189">
        <f t="shared" si="3"/>
        <v>0</v>
      </c>
      <c r="G11" s="189">
        <f t="shared" si="3"/>
        <v>0</v>
      </c>
      <c r="H11" s="189">
        <f t="shared" si="3"/>
        <v>0</v>
      </c>
      <c r="I11" s="189">
        <f t="shared" si="3"/>
        <v>0</v>
      </c>
      <c r="J11" s="189">
        <f t="shared" si="3"/>
        <v>0</v>
      </c>
      <c r="K11" s="189">
        <f t="shared" si="3"/>
        <v>0</v>
      </c>
      <c r="L11" s="189">
        <f t="shared" si="3"/>
        <v>0</v>
      </c>
      <c r="M11" s="189">
        <f t="shared" si="3"/>
        <v>0</v>
      </c>
      <c r="N11" s="189">
        <f t="shared" si="3"/>
        <v>0</v>
      </c>
      <c r="O11" s="397">
        <f t="shared" si="3"/>
        <v>0</v>
      </c>
      <c r="P11" s="186">
        <f>SUM(P9:P10)</f>
        <v>0</v>
      </c>
      <c r="Q11" s="186">
        <f t="shared" ref="Q11:AA11" si="4">SUM(Q9:Q10)</f>
        <v>0</v>
      </c>
      <c r="R11" s="186">
        <f t="shared" si="4"/>
        <v>0</v>
      </c>
      <c r="S11" s="186">
        <f t="shared" si="4"/>
        <v>0</v>
      </c>
      <c r="T11" s="186">
        <f t="shared" si="4"/>
        <v>0</v>
      </c>
      <c r="U11" s="186">
        <f t="shared" si="4"/>
        <v>0</v>
      </c>
      <c r="V11" s="186">
        <f t="shared" si="4"/>
        <v>0</v>
      </c>
      <c r="W11" s="186">
        <f t="shared" si="4"/>
        <v>0</v>
      </c>
      <c r="X11" s="186">
        <f t="shared" si="4"/>
        <v>0</v>
      </c>
      <c r="Y11" s="186">
        <f t="shared" si="4"/>
        <v>0</v>
      </c>
      <c r="Z11" s="186">
        <f t="shared" si="4"/>
        <v>0</v>
      </c>
      <c r="AA11" s="186">
        <f t="shared" si="4"/>
        <v>0</v>
      </c>
      <c r="AB11" s="397">
        <f>SUM(AB9:AB10)</f>
        <v>0</v>
      </c>
    </row>
    <row r="12" spans="1:28" x14ac:dyDescent="0.35">
      <c r="A12" s="145"/>
      <c r="B12" s="396"/>
      <c r="C12" s="186"/>
      <c r="D12" s="389"/>
      <c r="E12" s="389"/>
      <c r="F12" s="389"/>
      <c r="G12" s="389"/>
      <c r="H12" s="389"/>
      <c r="I12" s="389"/>
      <c r="J12" s="389"/>
      <c r="K12" s="389"/>
      <c r="L12" s="389"/>
      <c r="M12" s="389"/>
      <c r="N12" s="389"/>
      <c r="O12" s="397"/>
      <c r="P12" s="186"/>
      <c r="Q12" s="389"/>
      <c r="R12" s="389"/>
      <c r="S12" s="389"/>
      <c r="T12" s="389"/>
      <c r="U12" s="389"/>
      <c r="V12" s="389"/>
      <c r="W12" s="389"/>
      <c r="X12" s="389"/>
      <c r="Y12" s="389"/>
      <c r="Z12" s="389"/>
      <c r="AA12" s="389"/>
      <c r="AB12" s="397"/>
    </row>
    <row r="13" spans="1:28" x14ac:dyDescent="0.35">
      <c r="A13" s="384" t="s">
        <v>174</v>
      </c>
      <c r="B13" s="396"/>
      <c r="C13" s="186"/>
      <c r="D13" s="389"/>
      <c r="E13" s="389"/>
      <c r="F13" s="389"/>
      <c r="G13" s="389"/>
      <c r="H13" s="389"/>
      <c r="I13" s="389"/>
      <c r="J13" s="389"/>
      <c r="K13" s="389"/>
      <c r="L13" s="389"/>
      <c r="M13" s="389"/>
      <c r="N13" s="389"/>
      <c r="O13" s="397"/>
      <c r="P13" s="186"/>
      <c r="Q13" s="389"/>
      <c r="R13" s="389"/>
      <c r="S13" s="389"/>
      <c r="T13" s="389"/>
      <c r="U13" s="389"/>
      <c r="V13" s="389"/>
      <c r="W13" s="389"/>
      <c r="X13" s="389"/>
      <c r="Y13" s="389"/>
      <c r="Z13" s="389"/>
      <c r="AA13" s="389"/>
      <c r="AB13" s="397"/>
    </row>
    <row r="14" spans="1:28" x14ac:dyDescent="0.35">
      <c r="A14" s="386" t="s">
        <v>175</v>
      </c>
      <c r="B14" s="396"/>
      <c r="C14" s="186"/>
      <c r="D14" s="389"/>
      <c r="E14" s="389"/>
      <c r="F14" s="389"/>
      <c r="G14" s="389"/>
      <c r="H14" s="389"/>
      <c r="I14" s="389"/>
      <c r="J14" s="389"/>
      <c r="K14" s="389"/>
      <c r="L14" s="389"/>
      <c r="M14" s="389"/>
      <c r="N14" s="389"/>
      <c r="O14" s="397"/>
      <c r="P14" s="186"/>
      <c r="Q14" s="389"/>
      <c r="R14" s="389"/>
      <c r="S14" s="389"/>
      <c r="T14" s="389"/>
      <c r="U14" s="389"/>
      <c r="V14" s="389"/>
      <c r="W14" s="389"/>
      <c r="X14" s="389"/>
      <c r="Y14" s="389"/>
      <c r="Z14" s="389"/>
      <c r="AA14" s="389"/>
      <c r="AB14" s="397"/>
    </row>
    <row r="15" spans="1:28" x14ac:dyDescent="0.35">
      <c r="A15" s="390" t="s">
        <v>176</v>
      </c>
      <c r="B15" s="396">
        <f>'6a-CashFlowYear1'!O16</f>
        <v>0</v>
      </c>
      <c r="C15" s="186">
        <f>'4-AdditionalInputs'!$Q$35/12</f>
        <v>0</v>
      </c>
      <c r="D15" s="186">
        <f>'4-AdditionalInputs'!$Q$35/12</f>
        <v>0</v>
      </c>
      <c r="E15" s="186">
        <f>'4-AdditionalInputs'!$Q$35/12</f>
        <v>0</v>
      </c>
      <c r="F15" s="186">
        <f>'4-AdditionalInputs'!$Q$35/12</f>
        <v>0</v>
      </c>
      <c r="G15" s="186">
        <f>'4-AdditionalInputs'!$Q$35/12</f>
        <v>0</v>
      </c>
      <c r="H15" s="186">
        <f>'4-AdditionalInputs'!$Q$35/12</f>
        <v>0</v>
      </c>
      <c r="I15" s="186">
        <f>'4-AdditionalInputs'!$Q$35/12</f>
        <v>0</v>
      </c>
      <c r="J15" s="186">
        <f>'4-AdditionalInputs'!$Q$35/12</f>
        <v>0</v>
      </c>
      <c r="K15" s="186">
        <f>'4-AdditionalInputs'!$Q$35/12</f>
        <v>0</v>
      </c>
      <c r="L15" s="186">
        <f>'4-AdditionalInputs'!$Q$35/12</f>
        <v>0</v>
      </c>
      <c r="M15" s="186">
        <f>'4-AdditionalInputs'!$Q$35/12</f>
        <v>0</v>
      </c>
      <c r="N15" s="186">
        <f>'4-AdditionalInputs'!$Q$35/12</f>
        <v>0</v>
      </c>
      <c r="O15" s="397">
        <f>SUM(C15:N15)</f>
        <v>0</v>
      </c>
      <c r="P15" s="186">
        <f>'4-AdditionalInputs'!$R$35/12</f>
        <v>0</v>
      </c>
      <c r="Q15" s="186">
        <f>'4-AdditionalInputs'!$R$35/12</f>
        <v>0</v>
      </c>
      <c r="R15" s="186">
        <f>'4-AdditionalInputs'!$R$35/12</f>
        <v>0</v>
      </c>
      <c r="S15" s="186">
        <f>'4-AdditionalInputs'!$R$35/12</f>
        <v>0</v>
      </c>
      <c r="T15" s="186">
        <f>'4-AdditionalInputs'!$R$35/12</f>
        <v>0</v>
      </c>
      <c r="U15" s="186">
        <f>'4-AdditionalInputs'!$R$35/12</f>
        <v>0</v>
      </c>
      <c r="V15" s="186">
        <f>'4-AdditionalInputs'!$R$35/12</f>
        <v>0</v>
      </c>
      <c r="W15" s="186">
        <f>'4-AdditionalInputs'!$R$35/12</f>
        <v>0</v>
      </c>
      <c r="X15" s="186">
        <f>'4-AdditionalInputs'!$R$35/12</f>
        <v>0</v>
      </c>
      <c r="Y15" s="186">
        <f>'4-AdditionalInputs'!$R$35/12</f>
        <v>0</v>
      </c>
      <c r="Z15" s="186">
        <f>'4-AdditionalInputs'!$R$35/12</f>
        <v>0</v>
      </c>
      <c r="AA15" s="186">
        <f>'4-AdditionalInputs'!$R$35/12</f>
        <v>0</v>
      </c>
      <c r="AB15" s="397">
        <f>SUM(P15:AA15)</f>
        <v>0</v>
      </c>
    </row>
    <row r="16" spans="1:28" x14ac:dyDescent="0.35">
      <c r="A16" s="390" t="s">
        <v>177</v>
      </c>
      <c r="B16" s="396">
        <f>+'6a-CashFlowYear1'!O17</f>
        <v>0</v>
      </c>
      <c r="C16" s="349"/>
      <c r="D16" s="349"/>
      <c r="E16" s="349"/>
      <c r="F16" s="349"/>
      <c r="G16" s="349"/>
      <c r="H16" s="349"/>
      <c r="I16" s="349"/>
      <c r="J16" s="349"/>
      <c r="K16" s="349"/>
      <c r="L16" s="349"/>
      <c r="M16" s="349"/>
      <c r="N16" s="349"/>
      <c r="O16" s="397">
        <f>SUM(C16:N16)</f>
        <v>0</v>
      </c>
      <c r="P16" s="349"/>
      <c r="Q16" s="349"/>
      <c r="R16" s="349"/>
      <c r="S16" s="349"/>
      <c r="T16" s="349"/>
      <c r="U16" s="349"/>
      <c r="V16" s="349"/>
      <c r="W16" s="349"/>
      <c r="X16" s="349"/>
      <c r="Y16" s="349"/>
      <c r="Z16" s="349"/>
      <c r="AA16" s="349"/>
      <c r="AB16" s="397">
        <f>SUM(P16:AA16)</f>
        <v>0</v>
      </c>
    </row>
    <row r="17" spans="1:28" x14ac:dyDescent="0.35">
      <c r="A17" s="390" t="s">
        <v>178</v>
      </c>
      <c r="B17" s="396">
        <f>'6a-CashFlowYear1'!O18</f>
        <v>0</v>
      </c>
      <c r="C17" s="186">
        <f>('3b-SalesForecastYrs1-3'!C48*'4-AdditionalInputs'!$D$17)+('3a-SalesForecastYear1'!N54*'4-AdditionalInputs'!$D$18)+('3a-SalesForecastYear1'!M54*'4-AdditionalInputs'!$D$19)</f>
        <v>0</v>
      </c>
      <c r="D17" s="186">
        <f>('3b-SalesForecastYrs1-3'!D48*'4-AdditionalInputs'!$D$17)+('3b-SalesForecastYrs1-3'!C48*'4-AdditionalInputs'!$D$18)+('3a-SalesForecastYear1'!N54*'4-AdditionalInputs'!$D$19)</f>
        <v>0</v>
      </c>
      <c r="E17" s="186">
        <f>('3b-SalesForecastYrs1-3'!E48*'4-AdditionalInputs'!$D$17)+('3b-SalesForecastYrs1-3'!D48*'4-AdditionalInputs'!$D$18)+('3b-SalesForecastYrs1-3'!C48*'4-AdditionalInputs'!$D$19)</f>
        <v>0</v>
      </c>
      <c r="F17" s="186">
        <f>('3b-SalesForecastYrs1-3'!F48*'4-AdditionalInputs'!$D$17)+('3b-SalesForecastYrs1-3'!E48*'4-AdditionalInputs'!$D$18)+('3b-SalesForecastYrs1-3'!D48*'4-AdditionalInputs'!$D$19)</f>
        <v>0</v>
      </c>
      <c r="G17" s="186">
        <f>('3b-SalesForecastYrs1-3'!G48*'4-AdditionalInputs'!$D$17)+('3b-SalesForecastYrs1-3'!F48*'4-AdditionalInputs'!$D$18)+('3b-SalesForecastYrs1-3'!E48*'4-AdditionalInputs'!$D$19)</f>
        <v>0</v>
      </c>
      <c r="H17" s="186">
        <f>('3b-SalesForecastYrs1-3'!H48*'4-AdditionalInputs'!$D$17)+('3b-SalesForecastYrs1-3'!G48*'4-AdditionalInputs'!$D$18)+('3b-SalesForecastYrs1-3'!F48*'4-AdditionalInputs'!$D$19)</f>
        <v>0</v>
      </c>
      <c r="I17" s="186">
        <f>('3b-SalesForecastYrs1-3'!I48*'4-AdditionalInputs'!$D$17)+('3b-SalesForecastYrs1-3'!H48*'4-AdditionalInputs'!$D$18)+('3b-SalesForecastYrs1-3'!G48*'4-AdditionalInputs'!$D$19)</f>
        <v>0</v>
      </c>
      <c r="J17" s="186">
        <f>('3b-SalesForecastYrs1-3'!J48*'4-AdditionalInputs'!$D$17)+('3b-SalesForecastYrs1-3'!I48*'4-AdditionalInputs'!$D$18)+('3b-SalesForecastYrs1-3'!H48*'4-AdditionalInputs'!$D$19)</f>
        <v>0</v>
      </c>
      <c r="K17" s="186">
        <f>('3b-SalesForecastYrs1-3'!K48*'4-AdditionalInputs'!$D$17)+('3b-SalesForecastYrs1-3'!J48*'4-AdditionalInputs'!$D$18)+('3b-SalesForecastYrs1-3'!I48*'4-AdditionalInputs'!$D$19)</f>
        <v>0</v>
      </c>
      <c r="L17" s="186">
        <f>('3b-SalesForecastYrs1-3'!L48*'4-AdditionalInputs'!$D$17)+('3b-SalesForecastYrs1-3'!K48*'4-AdditionalInputs'!$D$18)+('3b-SalesForecastYrs1-3'!J48*'4-AdditionalInputs'!$D$19)</f>
        <v>0</v>
      </c>
      <c r="M17" s="186">
        <f>('3b-SalesForecastYrs1-3'!M48*'4-AdditionalInputs'!$D$17)+('3b-SalesForecastYrs1-3'!L48*'4-AdditionalInputs'!$D$18)+('3b-SalesForecastYrs1-3'!K48*'4-AdditionalInputs'!$D$19)</f>
        <v>0</v>
      </c>
      <c r="N17" s="186">
        <f>('3b-SalesForecastYrs1-3'!N48*'4-AdditionalInputs'!$D$17)+('3b-SalesForecastYrs1-3'!M48*'4-AdditionalInputs'!$D$18)+('3b-SalesForecastYrs1-3'!L48*'4-AdditionalInputs'!$D$19)</f>
        <v>0</v>
      </c>
      <c r="O17" s="397">
        <f>SUM(C17:N17)</f>
        <v>0</v>
      </c>
      <c r="P17" s="186">
        <f>('3b-SalesForecastYrs1-3'!R48*'4-AdditionalInputs'!$E$17)+('3b-SalesForecastYrs1-3'!N48*'4-AdditionalInputs'!$E$18)+('3b-SalesForecastYrs1-3'!M48*'4-AdditionalInputs'!$E$19)</f>
        <v>0</v>
      </c>
      <c r="Q17" s="186">
        <f>('3b-SalesForecastYrs1-3'!S48*'4-AdditionalInputs'!$E$17)+('3b-SalesForecastYrs1-3'!R48*'4-AdditionalInputs'!$E$18)+('3b-SalesForecastYrs1-3'!N48*'4-AdditionalInputs'!$E$19)</f>
        <v>0</v>
      </c>
      <c r="R17" s="186">
        <f>('3b-SalesForecastYrs1-3'!T48*'4-AdditionalInputs'!$E$17)+('3b-SalesForecastYrs1-3'!S48*'4-AdditionalInputs'!$E$18)+('3b-SalesForecastYrs1-3'!R48*'4-AdditionalInputs'!$E$19)</f>
        <v>0</v>
      </c>
      <c r="S17" s="186">
        <f>('3b-SalesForecastYrs1-3'!U48*'4-AdditionalInputs'!$E$17)+('3b-SalesForecastYrs1-3'!T48*'4-AdditionalInputs'!$E$18)+('3b-SalesForecastYrs1-3'!S48*'4-AdditionalInputs'!$E$19)</f>
        <v>0</v>
      </c>
      <c r="T17" s="186">
        <f>('3b-SalesForecastYrs1-3'!V48*'4-AdditionalInputs'!$E$17)+('3b-SalesForecastYrs1-3'!U48*'4-AdditionalInputs'!$E$18)+('3b-SalesForecastYrs1-3'!T48*'4-AdditionalInputs'!$E$19)</f>
        <v>0</v>
      </c>
      <c r="U17" s="186">
        <f>('3b-SalesForecastYrs1-3'!W48*'4-AdditionalInputs'!$E$17)+('3b-SalesForecastYrs1-3'!V48*'4-AdditionalInputs'!$E$18)+('3b-SalesForecastYrs1-3'!U48*'4-AdditionalInputs'!$E$19)</f>
        <v>0</v>
      </c>
      <c r="V17" s="186">
        <f>('3b-SalesForecastYrs1-3'!X48*'4-AdditionalInputs'!$E$17)+('3b-SalesForecastYrs1-3'!W48*'4-AdditionalInputs'!$E$18)+('3b-SalesForecastYrs1-3'!V48*'4-AdditionalInputs'!$E$19)</f>
        <v>0</v>
      </c>
      <c r="W17" s="186">
        <f>('3b-SalesForecastYrs1-3'!Y48*'4-AdditionalInputs'!$E$17)+('3b-SalesForecastYrs1-3'!X48*'4-AdditionalInputs'!$E$18)+('3b-SalesForecastYrs1-3'!W48*'4-AdditionalInputs'!$E$19)</f>
        <v>0</v>
      </c>
      <c r="X17" s="186">
        <f>('3b-SalesForecastYrs1-3'!Z48*'4-AdditionalInputs'!$E$17)+('3b-SalesForecastYrs1-3'!Y48*'4-AdditionalInputs'!$E$18)+('3b-SalesForecastYrs1-3'!X48*'4-AdditionalInputs'!$E$19)</f>
        <v>0</v>
      </c>
      <c r="Y17" s="186">
        <f>('3b-SalesForecastYrs1-3'!AA48*'4-AdditionalInputs'!$E$17)+('3b-SalesForecastYrs1-3'!Z48*'4-AdditionalInputs'!$E$18)+('3b-SalesForecastYrs1-3'!Y48*'4-AdditionalInputs'!$E$19)</f>
        <v>0</v>
      </c>
      <c r="Z17" s="186">
        <f>('3b-SalesForecastYrs1-3'!AB48*'4-AdditionalInputs'!$E$17)+('3b-SalesForecastYrs1-3'!AA48*'4-AdditionalInputs'!$E$18)+('3b-SalesForecastYrs1-3'!Z48*'4-AdditionalInputs'!$E$19)</f>
        <v>0</v>
      </c>
      <c r="AA17" s="186">
        <f>('3b-SalesForecastYrs1-3'!AC48*'4-AdditionalInputs'!$E$17)+('3b-SalesForecastYrs1-3'!AB48*'4-AdditionalInputs'!$E$18)+('3b-SalesForecastYrs1-3'!AA48*'4-AdditionalInputs'!$E$19)</f>
        <v>0</v>
      </c>
      <c r="AB17" s="397">
        <f t="shared" ref="AB17:AB27" si="5">SUM(P17:AA17)</f>
        <v>0</v>
      </c>
    </row>
    <row r="18" spans="1:28" x14ac:dyDescent="0.35">
      <c r="A18" s="386" t="s">
        <v>179</v>
      </c>
      <c r="B18" s="396"/>
      <c r="C18" s="186"/>
      <c r="D18" s="186"/>
      <c r="E18" s="186"/>
      <c r="F18" s="186"/>
      <c r="G18" s="186"/>
      <c r="H18" s="186"/>
      <c r="I18" s="186"/>
      <c r="J18" s="186"/>
      <c r="K18" s="186"/>
      <c r="L18" s="186"/>
      <c r="M18" s="186"/>
      <c r="N18" s="186"/>
      <c r="O18" s="397"/>
      <c r="P18" s="186"/>
      <c r="Q18" s="186"/>
      <c r="R18" s="186"/>
      <c r="S18" s="186"/>
      <c r="T18" s="186"/>
      <c r="U18" s="186"/>
      <c r="V18" s="186"/>
      <c r="W18" s="186"/>
      <c r="X18" s="186"/>
      <c r="Y18" s="186"/>
      <c r="Z18" s="186"/>
      <c r="AA18" s="186"/>
      <c r="AB18" s="397"/>
    </row>
    <row r="19" spans="1:28" x14ac:dyDescent="0.35">
      <c r="A19" s="390" t="s">
        <v>180</v>
      </c>
      <c r="B19" s="396">
        <f>'6a-CashFlowYear1'!O20</f>
        <v>0</v>
      </c>
      <c r="C19" s="186">
        <f>SUM('5b-OpExYrs1-3'!$E8:$E22)/12</f>
        <v>0</v>
      </c>
      <c r="D19" s="186">
        <f>SUM('5b-OpExYrs1-3'!$E8:$E22)/12</f>
        <v>0</v>
      </c>
      <c r="E19" s="186">
        <f>SUM('5b-OpExYrs1-3'!$E8:$E22)/12</f>
        <v>0</v>
      </c>
      <c r="F19" s="186">
        <f>SUM('5b-OpExYrs1-3'!$E8:$E22)/12</f>
        <v>0</v>
      </c>
      <c r="G19" s="186">
        <f>SUM('5b-OpExYrs1-3'!$E8:$E22)/12</f>
        <v>0</v>
      </c>
      <c r="H19" s="186">
        <f>SUM('5b-OpExYrs1-3'!$E8:$E22)/12</f>
        <v>0</v>
      </c>
      <c r="I19" s="186">
        <f>SUM('5b-OpExYrs1-3'!$E8:$E22)/12</f>
        <v>0</v>
      </c>
      <c r="J19" s="186">
        <f>SUM('5b-OpExYrs1-3'!$E8:$E22)/12</f>
        <v>0</v>
      </c>
      <c r="K19" s="186">
        <f>SUM('5b-OpExYrs1-3'!$E8:$E22)/12</f>
        <v>0</v>
      </c>
      <c r="L19" s="186">
        <f>SUM('5b-OpExYrs1-3'!$E8:$E22)/12</f>
        <v>0</v>
      </c>
      <c r="M19" s="186">
        <f>SUM('5b-OpExYrs1-3'!$E8:$E22)/12</f>
        <v>0</v>
      </c>
      <c r="N19" s="186">
        <f>SUM('5b-OpExYrs1-3'!$E8:$E22)/12</f>
        <v>0</v>
      </c>
      <c r="O19" s="397">
        <f>SUM(C19:N19)</f>
        <v>0</v>
      </c>
      <c r="P19" s="186">
        <f>SUM('5b-OpExYrs1-3'!$G8:$G22)/12</f>
        <v>0</v>
      </c>
      <c r="Q19" s="186">
        <f>SUM('5b-OpExYrs1-3'!$G8:$G22)/12</f>
        <v>0</v>
      </c>
      <c r="R19" s="186">
        <f>SUM('5b-OpExYrs1-3'!$G8:$G22)/12</f>
        <v>0</v>
      </c>
      <c r="S19" s="186">
        <f>SUM('5b-OpExYrs1-3'!$G8:$G22)/12</f>
        <v>0</v>
      </c>
      <c r="T19" s="186">
        <f>SUM('5b-OpExYrs1-3'!$G8:$G22)/12</f>
        <v>0</v>
      </c>
      <c r="U19" s="186">
        <f>SUM('5b-OpExYrs1-3'!$G8:$G22)/12</f>
        <v>0</v>
      </c>
      <c r="V19" s="186">
        <f>SUM('5b-OpExYrs1-3'!$G8:$G22)/12</f>
        <v>0</v>
      </c>
      <c r="W19" s="186">
        <f>SUM('5b-OpExYrs1-3'!$G8:$G22)/12</f>
        <v>0</v>
      </c>
      <c r="X19" s="186">
        <f>SUM('5b-OpExYrs1-3'!$G8:$G22)/12</f>
        <v>0</v>
      </c>
      <c r="Y19" s="186">
        <f>SUM('5b-OpExYrs1-3'!$G8:$G22)/12</f>
        <v>0</v>
      </c>
      <c r="Z19" s="186">
        <f>SUM('5b-OpExYrs1-3'!$G8:$G22)/12</f>
        <v>0</v>
      </c>
      <c r="AA19" s="186">
        <f>SUM('5b-OpExYrs1-3'!$G8:$G22)/12</f>
        <v>0</v>
      </c>
      <c r="AB19" s="397">
        <f t="shared" si="5"/>
        <v>0</v>
      </c>
    </row>
    <row r="20" spans="1:28" x14ac:dyDescent="0.35">
      <c r="A20" s="390" t="s">
        <v>181</v>
      </c>
      <c r="B20" s="396">
        <f>'6a-CashFlowYear1'!O21</f>
        <v>0</v>
      </c>
      <c r="C20" s="186">
        <f>'2b-PayrollYrs1-3'!$E$26/12</f>
        <v>0</v>
      </c>
      <c r="D20" s="186">
        <f>'2b-PayrollYrs1-3'!$E$26/12</f>
        <v>0</v>
      </c>
      <c r="E20" s="186">
        <f>'2b-PayrollYrs1-3'!$E$26/12</f>
        <v>0</v>
      </c>
      <c r="F20" s="186">
        <f>'2b-PayrollYrs1-3'!$E$26/12</f>
        <v>0</v>
      </c>
      <c r="G20" s="186">
        <f>'2b-PayrollYrs1-3'!$E$26/12</f>
        <v>0</v>
      </c>
      <c r="H20" s="186">
        <f>'2b-PayrollYrs1-3'!$E$26/12</f>
        <v>0</v>
      </c>
      <c r="I20" s="186">
        <f>'2b-PayrollYrs1-3'!$E$26/12</f>
        <v>0</v>
      </c>
      <c r="J20" s="186">
        <f>'2b-PayrollYrs1-3'!$E$26/12</f>
        <v>0</v>
      </c>
      <c r="K20" s="186">
        <f>'2b-PayrollYrs1-3'!$E$26/12</f>
        <v>0</v>
      </c>
      <c r="L20" s="186">
        <f>'2b-PayrollYrs1-3'!$E$26/12</f>
        <v>0</v>
      </c>
      <c r="M20" s="186">
        <f>'2b-PayrollYrs1-3'!$E$26/12</f>
        <v>0</v>
      </c>
      <c r="N20" s="186">
        <f>'2b-PayrollYrs1-3'!$E$26/12</f>
        <v>0</v>
      </c>
      <c r="O20" s="397">
        <f>SUM(C20:N20)</f>
        <v>0</v>
      </c>
      <c r="P20" s="186">
        <f>'2b-PayrollYrs1-3'!$G$26/12</f>
        <v>0</v>
      </c>
      <c r="Q20" s="186">
        <f>'2b-PayrollYrs1-3'!$G$26/12</f>
        <v>0</v>
      </c>
      <c r="R20" s="186">
        <f>'2b-PayrollYrs1-3'!$G$26/12</f>
        <v>0</v>
      </c>
      <c r="S20" s="186">
        <f>'2b-PayrollYrs1-3'!$G$26/12</f>
        <v>0</v>
      </c>
      <c r="T20" s="186">
        <f>'2b-PayrollYrs1-3'!$G$26/12</f>
        <v>0</v>
      </c>
      <c r="U20" s="186">
        <f>'2b-PayrollYrs1-3'!$G$26/12</f>
        <v>0</v>
      </c>
      <c r="V20" s="186">
        <f>'2b-PayrollYrs1-3'!$G$26/12</f>
        <v>0</v>
      </c>
      <c r="W20" s="186">
        <f>'2b-PayrollYrs1-3'!$G$26/12</f>
        <v>0</v>
      </c>
      <c r="X20" s="186">
        <f>'2b-PayrollYrs1-3'!$G$26/12</f>
        <v>0</v>
      </c>
      <c r="Y20" s="186">
        <f>'2b-PayrollYrs1-3'!$G$26/12</f>
        <v>0</v>
      </c>
      <c r="Z20" s="186">
        <f>'2b-PayrollYrs1-3'!$G$26/12</f>
        <v>0</v>
      </c>
      <c r="AA20" s="186">
        <f>'2b-PayrollYrs1-3'!$G$26/12</f>
        <v>0</v>
      </c>
      <c r="AB20" s="397">
        <f t="shared" si="5"/>
        <v>0</v>
      </c>
    </row>
    <row r="21" spans="1:28" x14ac:dyDescent="0.35">
      <c r="A21" s="390" t="s">
        <v>182</v>
      </c>
      <c r="B21" s="396">
        <f>'6a-CashFlowYear1'!O22</f>
        <v>0</v>
      </c>
      <c r="C21" s="186">
        <v>0</v>
      </c>
      <c r="D21" s="186">
        <v>0</v>
      </c>
      <c r="E21" s="186">
        <f>SUM('7b-IncomeStatementYrs1-3'!C65:E65)</f>
        <v>0</v>
      </c>
      <c r="F21" s="186">
        <v>0</v>
      </c>
      <c r="G21" s="186">
        <v>0</v>
      </c>
      <c r="H21" s="186">
        <f>SUM('7b-IncomeStatementYrs1-3'!F65:H65)</f>
        <v>0</v>
      </c>
      <c r="I21" s="186">
        <v>0</v>
      </c>
      <c r="J21" s="186">
        <v>0</v>
      </c>
      <c r="K21" s="186">
        <f>SUM('7b-IncomeStatementYrs1-3'!I65:K65)</f>
        <v>0</v>
      </c>
      <c r="L21" s="186">
        <v>0</v>
      </c>
      <c r="M21" s="186">
        <v>0</v>
      </c>
      <c r="N21" s="186">
        <f>SUM('7b-IncomeStatementYrs1-3'!L65:N65)</f>
        <v>0</v>
      </c>
      <c r="O21" s="397"/>
      <c r="P21" s="186">
        <v>0</v>
      </c>
      <c r="Q21" s="186">
        <v>0</v>
      </c>
      <c r="R21" s="186">
        <f>SUM('7b-IncomeStatementYrs1-3'!C69:E69)</f>
        <v>0</v>
      </c>
      <c r="S21" s="186">
        <v>0</v>
      </c>
      <c r="T21" s="186">
        <v>0</v>
      </c>
      <c r="U21" s="186">
        <f>SUM('7b-IncomeStatementYrs1-3'!F69:H69)</f>
        <v>0</v>
      </c>
      <c r="V21" s="186">
        <v>0</v>
      </c>
      <c r="W21" s="186">
        <v>0</v>
      </c>
      <c r="X21" s="186">
        <f>SUM('7b-IncomeStatementYrs1-3'!I69:K69)</f>
        <v>0</v>
      </c>
      <c r="Y21" s="186">
        <v>0</v>
      </c>
      <c r="Z21" s="186">
        <v>0</v>
      </c>
      <c r="AA21" s="186">
        <f>SUM('7b-IncomeStatementYrs1-3'!L69:N69)</f>
        <v>0</v>
      </c>
      <c r="AB21" s="397">
        <f t="shared" si="5"/>
        <v>0</v>
      </c>
    </row>
    <row r="22" spans="1:28" x14ac:dyDescent="0.35">
      <c r="A22" s="386" t="s">
        <v>183</v>
      </c>
      <c r="B22" s="396"/>
      <c r="C22" s="186"/>
      <c r="D22" s="389"/>
      <c r="E22" s="389"/>
      <c r="F22" s="389"/>
      <c r="G22" s="389"/>
      <c r="H22" s="389"/>
      <c r="I22" s="389"/>
      <c r="J22" s="389"/>
      <c r="K22" s="389"/>
      <c r="L22" s="389"/>
      <c r="M22" s="389"/>
      <c r="N22" s="389"/>
      <c r="O22" s="397"/>
      <c r="P22" s="186"/>
      <c r="Q22" s="389"/>
      <c r="R22" s="389"/>
      <c r="S22" s="389"/>
      <c r="T22" s="389"/>
      <c r="U22" s="389"/>
      <c r="V22" s="389"/>
      <c r="W22" s="389"/>
      <c r="X22" s="389"/>
      <c r="Y22" s="389"/>
      <c r="Z22" s="389"/>
      <c r="AA22" s="389"/>
      <c r="AB22" s="397"/>
    </row>
    <row r="23" spans="1:28" x14ac:dyDescent="0.35">
      <c r="A23" s="398" t="s">
        <v>184</v>
      </c>
      <c r="B23" s="396">
        <f>'6a-CashFlowYear1'!O24</f>
        <v>0</v>
      </c>
      <c r="C23" s="389">
        <f>SUM('Amortization&amp;Depreciation'!C19:C20)+SUM('Amortization&amp;Depreciation'!C39:C40)+SUM('Amortization&amp;Depreciation'!C59:C60)+SUM('Amortization&amp;Depreciation'!C79:C80)+SUM('Amortization&amp;Depreciation'!C99:C100)</f>
        <v>0</v>
      </c>
      <c r="D23" s="389">
        <f>SUM('Amortization&amp;Depreciation'!D19:D20)+SUM('Amortization&amp;Depreciation'!D39:D40)+SUM('Amortization&amp;Depreciation'!D59:D60)+SUM('Amortization&amp;Depreciation'!D79:D80)+SUM('Amortization&amp;Depreciation'!D99:D100)</f>
        <v>0</v>
      </c>
      <c r="E23" s="389">
        <f>SUM('Amortization&amp;Depreciation'!E19:E20)+SUM('Amortization&amp;Depreciation'!E39:E40)+SUM('Amortization&amp;Depreciation'!E59:E60)+SUM('Amortization&amp;Depreciation'!E79:E80)+SUM('Amortization&amp;Depreciation'!E99:E100)</f>
        <v>0</v>
      </c>
      <c r="F23" s="389">
        <f>SUM('Amortization&amp;Depreciation'!F19:F20)+SUM('Amortization&amp;Depreciation'!F39:F40)+SUM('Amortization&amp;Depreciation'!F59:F60)+SUM('Amortization&amp;Depreciation'!F79:F80)+SUM('Amortization&amp;Depreciation'!F99:F100)</f>
        <v>0</v>
      </c>
      <c r="G23" s="389">
        <f>SUM('Amortization&amp;Depreciation'!G19:G20)+SUM('Amortization&amp;Depreciation'!G39:G40)+SUM('Amortization&amp;Depreciation'!G59:G60)+SUM('Amortization&amp;Depreciation'!G79:G80)+SUM('Amortization&amp;Depreciation'!G99:G100)</f>
        <v>0</v>
      </c>
      <c r="H23" s="389">
        <f>SUM('Amortization&amp;Depreciation'!H19:H20)+SUM('Amortization&amp;Depreciation'!H39:H40)+SUM('Amortization&amp;Depreciation'!H59:H60)+SUM('Amortization&amp;Depreciation'!H79:H80)+SUM('Amortization&amp;Depreciation'!H99:H100)</f>
        <v>0</v>
      </c>
      <c r="I23" s="389">
        <f>SUM('Amortization&amp;Depreciation'!I19:I20)+SUM('Amortization&amp;Depreciation'!I39:I40)+SUM('Amortization&amp;Depreciation'!I59:I60)+SUM('Amortization&amp;Depreciation'!I79:I80)+SUM('Amortization&amp;Depreciation'!I99:I100)</f>
        <v>0</v>
      </c>
      <c r="J23" s="389">
        <f>SUM('Amortization&amp;Depreciation'!J19:J20)+SUM('Amortization&amp;Depreciation'!J39:J40)+SUM('Amortization&amp;Depreciation'!J59:J60)+SUM('Amortization&amp;Depreciation'!J79:J80)+SUM('Amortization&amp;Depreciation'!J99:J100)</f>
        <v>0</v>
      </c>
      <c r="K23" s="389">
        <f>SUM('Amortization&amp;Depreciation'!K19:K20)+SUM('Amortization&amp;Depreciation'!K39:K40)+SUM('Amortization&amp;Depreciation'!K59:K60)+SUM('Amortization&amp;Depreciation'!K79:K80)+SUM('Amortization&amp;Depreciation'!K99:K100)</f>
        <v>0</v>
      </c>
      <c r="L23" s="389">
        <f>SUM('Amortization&amp;Depreciation'!L19:L20)+SUM('Amortization&amp;Depreciation'!L39:L40)+SUM('Amortization&amp;Depreciation'!L59:L60)+SUM('Amortization&amp;Depreciation'!L79:L80)+SUM('Amortization&amp;Depreciation'!L99:L100)</f>
        <v>0</v>
      </c>
      <c r="M23" s="389">
        <f>SUM('Amortization&amp;Depreciation'!M19:M20)+SUM('Amortization&amp;Depreciation'!M39:M40)+SUM('Amortization&amp;Depreciation'!M59:M60)+SUM('Amortization&amp;Depreciation'!M79:M80)+SUM('Amortization&amp;Depreciation'!M99:M100)</f>
        <v>0</v>
      </c>
      <c r="N23" s="389">
        <f>SUM('Amortization&amp;Depreciation'!N19:N20)+SUM('Amortization&amp;Depreciation'!N39:N40)+SUM('Amortization&amp;Depreciation'!N59:N60)+SUM('Amortization&amp;Depreciation'!N79:N80)+SUM('Amortization&amp;Depreciation'!N99:N100)</f>
        <v>0</v>
      </c>
      <c r="O23" s="397">
        <f>SUM(C23:N23)</f>
        <v>0</v>
      </c>
      <c r="P23" s="389">
        <f>SUM('Amortization&amp;Depreciation'!C23:C24)+SUM('Amortization&amp;Depreciation'!C43:C44)+SUM('Amortization&amp;Depreciation'!C63:C64)+SUM('Amortization&amp;Depreciation'!C83:C84)+SUM('Amortization&amp;Depreciation'!C103:C104)</f>
        <v>0</v>
      </c>
      <c r="Q23" s="389">
        <f>SUM('Amortization&amp;Depreciation'!D23:D24)+SUM('Amortization&amp;Depreciation'!D43:D44)+SUM('Amortization&amp;Depreciation'!D63:D64)+SUM('Amortization&amp;Depreciation'!D83:D84)+SUM('Amortization&amp;Depreciation'!D103:D104)</f>
        <v>0</v>
      </c>
      <c r="R23" s="389">
        <f>SUM('Amortization&amp;Depreciation'!E23:E24)+SUM('Amortization&amp;Depreciation'!E43:E44)+SUM('Amortization&amp;Depreciation'!E63:E64)+SUM('Amortization&amp;Depreciation'!E83:E84)+SUM('Amortization&amp;Depreciation'!E103:E104)</f>
        <v>0</v>
      </c>
      <c r="S23" s="389">
        <f>SUM('Amortization&amp;Depreciation'!F23:F24)+SUM('Amortization&amp;Depreciation'!F43:F44)+SUM('Amortization&amp;Depreciation'!F63:F64)+SUM('Amortization&amp;Depreciation'!F83:F84)+SUM('Amortization&amp;Depreciation'!F103:F104)</f>
        <v>0</v>
      </c>
      <c r="T23" s="389">
        <f>SUM('Amortization&amp;Depreciation'!G23:G24)+SUM('Amortization&amp;Depreciation'!G43:G44)+SUM('Amortization&amp;Depreciation'!G63:G64)+SUM('Amortization&amp;Depreciation'!G83:G84)+SUM('Amortization&amp;Depreciation'!G103:G104)</f>
        <v>0</v>
      </c>
      <c r="U23" s="389">
        <f>SUM('Amortization&amp;Depreciation'!H23:H24)+SUM('Amortization&amp;Depreciation'!H43:H44)+SUM('Amortization&amp;Depreciation'!H63:H64)+SUM('Amortization&amp;Depreciation'!H83:H84)+SUM('Amortization&amp;Depreciation'!H103:H104)</f>
        <v>0</v>
      </c>
      <c r="V23" s="389">
        <f>SUM('Amortization&amp;Depreciation'!I23:I24)+SUM('Amortization&amp;Depreciation'!I43:I44)+SUM('Amortization&amp;Depreciation'!I63:I64)+SUM('Amortization&amp;Depreciation'!I83:I84)+SUM('Amortization&amp;Depreciation'!I103:I104)</f>
        <v>0</v>
      </c>
      <c r="W23" s="389">
        <f>SUM('Amortization&amp;Depreciation'!J23:J24)+SUM('Amortization&amp;Depreciation'!J43:J44)+SUM('Amortization&amp;Depreciation'!J63:J64)+SUM('Amortization&amp;Depreciation'!J83:J84)+SUM('Amortization&amp;Depreciation'!J103:J104)</f>
        <v>0</v>
      </c>
      <c r="X23" s="389">
        <f>SUM('Amortization&amp;Depreciation'!K23:K24)+SUM('Amortization&amp;Depreciation'!K43:K44)+SUM('Amortization&amp;Depreciation'!K63:K64)+SUM('Amortization&amp;Depreciation'!K83:K84)+SUM('Amortization&amp;Depreciation'!K103:K104)</f>
        <v>0</v>
      </c>
      <c r="Y23" s="389">
        <f>SUM('Amortization&amp;Depreciation'!L23:L24)+SUM('Amortization&amp;Depreciation'!L43:L44)+SUM('Amortization&amp;Depreciation'!L63:L64)+SUM('Amortization&amp;Depreciation'!L83:L84)+SUM('Amortization&amp;Depreciation'!L103:L104)</f>
        <v>0</v>
      </c>
      <c r="Z23" s="389">
        <f>SUM('Amortization&amp;Depreciation'!M23:M24)+SUM('Amortization&amp;Depreciation'!M43:M44)+SUM('Amortization&amp;Depreciation'!M63:M64)+SUM('Amortization&amp;Depreciation'!M83:M84)+SUM('Amortization&amp;Depreciation'!M103:M104)</f>
        <v>0</v>
      </c>
      <c r="AA23" s="389">
        <f>SUM('Amortization&amp;Depreciation'!N23:N24)+SUM('Amortization&amp;Depreciation'!N43:N44)+SUM('Amortization&amp;Depreciation'!N63:N64)+SUM('Amortization&amp;Depreciation'!N83:N84)+SUM('Amortization&amp;Depreciation'!N103:N104)</f>
        <v>0</v>
      </c>
      <c r="AB23" s="397">
        <f t="shared" si="5"/>
        <v>0</v>
      </c>
    </row>
    <row r="24" spans="1:28" x14ac:dyDescent="0.35">
      <c r="A24" s="398" t="s">
        <v>185</v>
      </c>
      <c r="B24" s="396">
        <f>'6a-CashFlowYear1'!O25</f>
        <v>0</v>
      </c>
      <c r="C24" s="349"/>
      <c r="D24" s="349"/>
      <c r="E24" s="349"/>
      <c r="F24" s="349"/>
      <c r="G24" s="349"/>
      <c r="H24" s="349"/>
      <c r="I24" s="349"/>
      <c r="J24" s="349"/>
      <c r="K24" s="349"/>
      <c r="L24" s="349"/>
      <c r="M24" s="349"/>
      <c r="N24" s="349"/>
      <c r="O24" s="397">
        <f>SUM(C24:N24)</f>
        <v>0</v>
      </c>
      <c r="P24" s="349"/>
      <c r="Q24" s="349"/>
      <c r="R24" s="349"/>
      <c r="S24" s="349"/>
      <c r="T24" s="349"/>
      <c r="U24" s="349"/>
      <c r="V24" s="349"/>
      <c r="W24" s="349"/>
      <c r="X24" s="349"/>
      <c r="Y24" s="349"/>
      <c r="Z24" s="349"/>
      <c r="AA24" s="349"/>
      <c r="AB24" s="397">
        <f t="shared" si="5"/>
        <v>0</v>
      </c>
    </row>
    <row r="25" spans="1:28" x14ac:dyDescent="0.35">
      <c r="A25" s="398" t="s">
        <v>186</v>
      </c>
      <c r="B25" s="396">
        <f>'6a-CashFlowYear1'!O26</f>
        <v>0</v>
      </c>
      <c r="C25" s="186">
        <f>'6a-CashFlowYear1'!N34*'4-AdditionalInputs'!$D$25/12</f>
        <v>0</v>
      </c>
      <c r="D25" s="186">
        <f>C33*'4-AdditionalInputs'!$D$25/12</f>
        <v>0</v>
      </c>
      <c r="E25" s="186">
        <f>D33*'4-AdditionalInputs'!$D$25/12</f>
        <v>0</v>
      </c>
      <c r="F25" s="186">
        <f>E33*'4-AdditionalInputs'!$D$25/12</f>
        <v>0</v>
      </c>
      <c r="G25" s="186">
        <f>F33*'4-AdditionalInputs'!$D$25/12</f>
        <v>0</v>
      </c>
      <c r="H25" s="186">
        <f>G33*'4-AdditionalInputs'!$D$25/12</f>
        <v>0</v>
      </c>
      <c r="I25" s="186">
        <f>H33*'4-AdditionalInputs'!$D$25/12</f>
        <v>0</v>
      </c>
      <c r="J25" s="186">
        <f>I33*'4-AdditionalInputs'!$D$25/12</f>
        <v>0</v>
      </c>
      <c r="K25" s="186">
        <f>J33*'4-AdditionalInputs'!$D$25/12</f>
        <v>0</v>
      </c>
      <c r="L25" s="186">
        <f>K33*'4-AdditionalInputs'!$D$25/12</f>
        <v>0</v>
      </c>
      <c r="M25" s="186">
        <f>L33*'4-AdditionalInputs'!$D$25/12</f>
        <v>0</v>
      </c>
      <c r="N25" s="186">
        <f>M33*'4-AdditionalInputs'!$D$25/12</f>
        <v>0</v>
      </c>
      <c r="O25" s="397">
        <f>SUM(C25:N25)</f>
        <v>0</v>
      </c>
      <c r="P25" s="186">
        <f>N33*'4-AdditionalInputs'!$D$25/12</f>
        <v>0</v>
      </c>
      <c r="Q25" s="186">
        <f>P33*'4-AdditionalInputs'!$D$25/12</f>
        <v>0</v>
      </c>
      <c r="R25" s="186">
        <f>Q33*'4-AdditionalInputs'!$D$25/12</f>
        <v>0</v>
      </c>
      <c r="S25" s="186">
        <f>R33*'4-AdditionalInputs'!$D$25/12</f>
        <v>0</v>
      </c>
      <c r="T25" s="186">
        <f>S33*'4-AdditionalInputs'!$D$25/12</f>
        <v>0</v>
      </c>
      <c r="U25" s="186">
        <f>T33*'4-AdditionalInputs'!$D$25/12</f>
        <v>0</v>
      </c>
      <c r="V25" s="186">
        <f>U33*'4-AdditionalInputs'!$D$25/12</f>
        <v>0</v>
      </c>
      <c r="W25" s="186">
        <f>V33*'4-AdditionalInputs'!$D$25/12</f>
        <v>0</v>
      </c>
      <c r="X25" s="186">
        <f>W33*'4-AdditionalInputs'!$D$25/12</f>
        <v>0</v>
      </c>
      <c r="Y25" s="186">
        <f>X33*'4-AdditionalInputs'!$D$25/12</f>
        <v>0</v>
      </c>
      <c r="Z25" s="186">
        <f>Y33*'4-AdditionalInputs'!$D$25/12</f>
        <v>0</v>
      </c>
      <c r="AA25" s="186">
        <f>Z33*'4-AdditionalInputs'!$D$25/12</f>
        <v>0</v>
      </c>
      <c r="AB25" s="397">
        <f t="shared" si="5"/>
        <v>0</v>
      </c>
    </row>
    <row r="26" spans="1:28" x14ac:dyDescent="0.35">
      <c r="A26" s="398" t="s">
        <v>187</v>
      </c>
      <c r="B26" s="396">
        <f>'6a-CashFlowYear1'!O27</f>
        <v>0</v>
      </c>
      <c r="C26" s="349"/>
      <c r="D26" s="349"/>
      <c r="E26" s="349"/>
      <c r="F26" s="349"/>
      <c r="G26" s="349"/>
      <c r="H26" s="349"/>
      <c r="I26" s="349"/>
      <c r="J26" s="349"/>
      <c r="K26" s="349"/>
      <c r="L26" s="349"/>
      <c r="M26" s="349"/>
      <c r="N26" s="349"/>
      <c r="O26" s="397">
        <f>SUM(C26:N26)</f>
        <v>0</v>
      </c>
      <c r="P26" s="349"/>
      <c r="Q26" s="349"/>
      <c r="R26" s="349"/>
      <c r="S26" s="349"/>
      <c r="T26" s="349"/>
      <c r="U26" s="349"/>
      <c r="V26" s="349"/>
      <c r="W26" s="349"/>
      <c r="X26" s="349"/>
      <c r="Y26" s="349"/>
      <c r="Z26" s="349"/>
      <c r="AA26" s="349"/>
      <c r="AB26" s="397">
        <f t="shared" si="5"/>
        <v>0</v>
      </c>
    </row>
    <row r="27" spans="1:28" x14ac:dyDescent="0.35">
      <c r="A27" s="398" t="s">
        <v>188</v>
      </c>
      <c r="B27" s="396">
        <f>'6a-CashFlowYear1'!O28</f>
        <v>0</v>
      </c>
      <c r="C27" s="349"/>
      <c r="D27" s="349"/>
      <c r="E27" s="349"/>
      <c r="F27" s="349"/>
      <c r="G27" s="349"/>
      <c r="H27" s="349"/>
      <c r="I27" s="349"/>
      <c r="J27" s="349"/>
      <c r="K27" s="349"/>
      <c r="L27" s="349"/>
      <c r="M27" s="349"/>
      <c r="N27" s="349"/>
      <c r="O27" s="397">
        <f>SUM(C27:N27)</f>
        <v>0</v>
      </c>
      <c r="P27" s="349"/>
      <c r="Q27" s="349"/>
      <c r="R27" s="349"/>
      <c r="S27" s="349"/>
      <c r="T27" s="349"/>
      <c r="U27" s="349"/>
      <c r="V27" s="349"/>
      <c r="W27" s="349"/>
      <c r="X27" s="349"/>
      <c r="Y27" s="349"/>
      <c r="Z27" s="349"/>
      <c r="AA27" s="349"/>
      <c r="AB27" s="397">
        <f t="shared" si="5"/>
        <v>0</v>
      </c>
    </row>
    <row r="28" spans="1:28" x14ac:dyDescent="0.35">
      <c r="A28" s="391" t="s">
        <v>189</v>
      </c>
      <c r="B28" s="396">
        <f>'6a-CashFlowYear1'!O29</f>
        <v>0</v>
      </c>
      <c r="C28" s="392">
        <f t="shared" ref="C28:AA28" si="6">SUM(C15:C27)</f>
        <v>0</v>
      </c>
      <c r="D28" s="392">
        <f t="shared" si="6"/>
        <v>0</v>
      </c>
      <c r="E28" s="392">
        <f t="shared" si="6"/>
        <v>0</v>
      </c>
      <c r="F28" s="392">
        <f t="shared" si="6"/>
        <v>0</v>
      </c>
      <c r="G28" s="392">
        <f t="shared" si="6"/>
        <v>0</v>
      </c>
      <c r="H28" s="392">
        <f t="shared" si="6"/>
        <v>0</v>
      </c>
      <c r="I28" s="392">
        <f t="shared" si="6"/>
        <v>0</v>
      </c>
      <c r="J28" s="392">
        <f t="shared" si="6"/>
        <v>0</v>
      </c>
      <c r="K28" s="392">
        <f t="shared" si="6"/>
        <v>0</v>
      </c>
      <c r="L28" s="392">
        <f t="shared" si="6"/>
        <v>0</v>
      </c>
      <c r="M28" s="392">
        <f t="shared" si="6"/>
        <v>0</v>
      </c>
      <c r="N28" s="392">
        <f t="shared" si="6"/>
        <v>0</v>
      </c>
      <c r="O28" s="397">
        <f t="shared" si="6"/>
        <v>0</v>
      </c>
      <c r="P28" s="392">
        <f t="shared" si="6"/>
        <v>0</v>
      </c>
      <c r="Q28" s="392">
        <f t="shared" si="6"/>
        <v>0</v>
      </c>
      <c r="R28" s="392">
        <f t="shared" si="6"/>
        <v>0</v>
      </c>
      <c r="S28" s="392">
        <f t="shared" si="6"/>
        <v>0</v>
      </c>
      <c r="T28" s="392">
        <f t="shared" si="6"/>
        <v>0</v>
      </c>
      <c r="U28" s="392">
        <f t="shared" si="6"/>
        <v>0</v>
      </c>
      <c r="V28" s="392">
        <f t="shared" si="6"/>
        <v>0</v>
      </c>
      <c r="W28" s="392">
        <f t="shared" si="6"/>
        <v>0</v>
      </c>
      <c r="X28" s="392">
        <f t="shared" si="6"/>
        <v>0</v>
      </c>
      <c r="Y28" s="392">
        <f t="shared" si="6"/>
        <v>0</v>
      </c>
      <c r="Z28" s="392">
        <f t="shared" si="6"/>
        <v>0</v>
      </c>
      <c r="AA28" s="392">
        <f t="shared" si="6"/>
        <v>0</v>
      </c>
      <c r="AB28" s="397">
        <f>SUM(P28:AA28)</f>
        <v>0</v>
      </c>
    </row>
    <row r="29" spans="1:28" x14ac:dyDescent="0.35">
      <c r="A29" s="384" t="s">
        <v>190</v>
      </c>
      <c r="B29" s="396">
        <f>'6a-CashFlowYear1'!O30</f>
        <v>0</v>
      </c>
      <c r="C29" s="189">
        <f t="shared" ref="C29:AA29" si="7">C11-C28</f>
        <v>0</v>
      </c>
      <c r="D29" s="388">
        <f t="shared" si="7"/>
        <v>0</v>
      </c>
      <c r="E29" s="388">
        <f t="shared" si="7"/>
        <v>0</v>
      </c>
      <c r="F29" s="388">
        <f t="shared" si="7"/>
        <v>0</v>
      </c>
      <c r="G29" s="388">
        <f t="shared" si="7"/>
        <v>0</v>
      </c>
      <c r="H29" s="388">
        <f t="shared" si="7"/>
        <v>0</v>
      </c>
      <c r="I29" s="388">
        <f t="shared" si="7"/>
        <v>0</v>
      </c>
      <c r="J29" s="388">
        <f t="shared" si="7"/>
        <v>0</v>
      </c>
      <c r="K29" s="388">
        <f t="shared" si="7"/>
        <v>0</v>
      </c>
      <c r="L29" s="388">
        <f t="shared" si="7"/>
        <v>0</v>
      </c>
      <c r="M29" s="388">
        <f t="shared" si="7"/>
        <v>0</v>
      </c>
      <c r="N29" s="388">
        <f t="shared" si="7"/>
        <v>0</v>
      </c>
      <c r="O29" s="397">
        <f t="shared" si="7"/>
        <v>0</v>
      </c>
      <c r="P29" s="189">
        <f t="shared" si="7"/>
        <v>0</v>
      </c>
      <c r="Q29" s="388">
        <f t="shared" si="7"/>
        <v>0</v>
      </c>
      <c r="R29" s="388">
        <f t="shared" si="7"/>
        <v>0</v>
      </c>
      <c r="S29" s="388">
        <f t="shared" si="7"/>
        <v>0</v>
      </c>
      <c r="T29" s="388">
        <f t="shared" si="7"/>
        <v>0</v>
      </c>
      <c r="U29" s="388">
        <f t="shared" si="7"/>
        <v>0</v>
      </c>
      <c r="V29" s="388">
        <f t="shared" si="7"/>
        <v>0</v>
      </c>
      <c r="W29" s="388">
        <f t="shared" si="7"/>
        <v>0</v>
      </c>
      <c r="X29" s="388">
        <f t="shared" si="7"/>
        <v>0</v>
      </c>
      <c r="Y29" s="388">
        <f t="shared" si="7"/>
        <v>0</v>
      </c>
      <c r="Z29" s="388">
        <f t="shared" si="7"/>
        <v>0</v>
      </c>
      <c r="AA29" s="388">
        <f t="shared" si="7"/>
        <v>0</v>
      </c>
      <c r="AB29" s="397">
        <f>SUM(P29:AA29)</f>
        <v>0</v>
      </c>
    </row>
    <row r="30" spans="1:28" x14ac:dyDescent="0.35">
      <c r="A30" s="384" t="s">
        <v>191</v>
      </c>
      <c r="B30" s="384"/>
      <c r="C30" s="189">
        <f t="shared" ref="C30:N30" si="8">C7+C29</f>
        <v>0</v>
      </c>
      <c r="D30" s="189">
        <f t="shared" si="8"/>
        <v>0</v>
      </c>
      <c r="E30" s="189">
        <f t="shared" si="8"/>
        <v>0</v>
      </c>
      <c r="F30" s="189">
        <f t="shared" si="8"/>
        <v>0</v>
      </c>
      <c r="G30" s="189">
        <f t="shared" si="8"/>
        <v>0</v>
      </c>
      <c r="H30" s="189">
        <f t="shared" si="8"/>
        <v>0</v>
      </c>
      <c r="I30" s="189">
        <f t="shared" si="8"/>
        <v>0</v>
      </c>
      <c r="J30" s="189">
        <f t="shared" si="8"/>
        <v>0</v>
      </c>
      <c r="K30" s="189">
        <f t="shared" si="8"/>
        <v>0</v>
      </c>
      <c r="L30" s="189">
        <f t="shared" si="8"/>
        <v>0</v>
      </c>
      <c r="M30" s="189">
        <f t="shared" si="8"/>
        <v>0</v>
      </c>
      <c r="N30" s="189">
        <f t="shared" si="8"/>
        <v>0</v>
      </c>
      <c r="O30" s="397"/>
      <c r="P30" s="189">
        <f t="shared" ref="P30:AA30" si="9">P7+P29</f>
        <v>0</v>
      </c>
      <c r="Q30" s="189">
        <f t="shared" si="9"/>
        <v>0</v>
      </c>
      <c r="R30" s="189">
        <f t="shared" si="9"/>
        <v>0</v>
      </c>
      <c r="S30" s="189">
        <f t="shared" si="9"/>
        <v>0</v>
      </c>
      <c r="T30" s="189">
        <f t="shared" si="9"/>
        <v>0</v>
      </c>
      <c r="U30" s="189">
        <f t="shared" si="9"/>
        <v>0</v>
      </c>
      <c r="V30" s="189">
        <f t="shared" si="9"/>
        <v>0</v>
      </c>
      <c r="W30" s="189">
        <f t="shared" si="9"/>
        <v>0</v>
      </c>
      <c r="X30" s="189">
        <f t="shared" si="9"/>
        <v>0</v>
      </c>
      <c r="Y30" s="189">
        <f t="shared" si="9"/>
        <v>0</v>
      </c>
      <c r="Z30" s="189">
        <f t="shared" si="9"/>
        <v>0</v>
      </c>
      <c r="AA30" s="189">
        <f t="shared" si="9"/>
        <v>0</v>
      </c>
      <c r="AB30" s="397"/>
    </row>
    <row r="31" spans="1:28" x14ac:dyDescent="0.35">
      <c r="A31" s="384" t="s">
        <v>192</v>
      </c>
      <c r="B31" s="396">
        <f>'6a-CashFlowYear1'!O32</f>
        <v>0</v>
      </c>
      <c r="C31" s="189">
        <f>IF(C30&lt;'4-AdditionalInputs'!$D$24, '4-AdditionalInputs'!$D$24-C30, 0)</f>
        <v>0</v>
      </c>
      <c r="D31" s="189">
        <f>IF(D30&lt;'4-AdditionalInputs'!$D$24, '4-AdditionalInputs'!$D$24-D30, 0)</f>
        <v>0</v>
      </c>
      <c r="E31" s="189">
        <f>IF(E30&lt;'4-AdditionalInputs'!$D$24, '4-AdditionalInputs'!$D$24-E30, 0)</f>
        <v>0</v>
      </c>
      <c r="F31" s="189">
        <f>IF(F30&lt;'4-AdditionalInputs'!$D$24, '4-AdditionalInputs'!$D$24-F30, 0)</f>
        <v>0</v>
      </c>
      <c r="G31" s="189">
        <f>IF(G30&lt;'4-AdditionalInputs'!$D$24, '4-AdditionalInputs'!$D$24-G30, 0)</f>
        <v>0</v>
      </c>
      <c r="H31" s="189">
        <f>IF(H30&lt;'4-AdditionalInputs'!$D$24, '4-AdditionalInputs'!$D$24-H30, 0)</f>
        <v>0</v>
      </c>
      <c r="I31" s="189">
        <f>IF(I30&lt;'4-AdditionalInputs'!$D$24, '4-AdditionalInputs'!$D$24-I30, 0)</f>
        <v>0</v>
      </c>
      <c r="J31" s="189">
        <f>IF(J30&lt;'4-AdditionalInputs'!$D$24, '4-AdditionalInputs'!$D$24-J30, 0)</f>
        <v>0</v>
      </c>
      <c r="K31" s="189">
        <f>IF(K30&lt;'4-AdditionalInputs'!$D$24, '4-AdditionalInputs'!$D$24-K30, 0)</f>
        <v>0</v>
      </c>
      <c r="L31" s="189">
        <f>IF(L30&lt;'4-AdditionalInputs'!$D$24, '4-AdditionalInputs'!$D$24-L30, 0)</f>
        <v>0</v>
      </c>
      <c r="M31" s="189">
        <f>IF(M30&lt;'4-AdditionalInputs'!$D$24, '4-AdditionalInputs'!$D$24-M30, 0)</f>
        <v>0</v>
      </c>
      <c r="N31" s="189">
        <f>IF(N30&lt;'4-AdditionalInputs'!$D$24, '4-AdditionalInputs'!$D$24-N30, 0)</f>
        <v>0</v>
      </c>
      <c r="O31" s="397">
        <f>SUM(C31:N31)</f>
        <v>0</v>
      </c>
      <c r="P31" s="189">
        <f>IF(P30&lt;'4-AdditionalInputs'!$D$24, '4-AdditionalInputs'!$D$24-P30, 0)</f>
        <v>0</v>
      </c>
      <c r="Q31" s="189">
        <f>IF(Q30&lt;'4-AdditionalInputs'!$D$24, '4-AdditionalInputs'!$D$24-Q30, 0)</f>
        <v>0</v>
      </c>
      <c r="R31" s="189">
        <f>IF(R30&lt;'4-AdditionalInputs'!$D$24, '4-AdditionalInputs'!$D$24-R30, 0)</f>
        <v>0</v>
      </c>
      <c r="S31" s="189">
        <f>IF(S30&lt;'4-AdditionalInputs'!$D$24, '4-AdditionalInputs'!$D$24-S30, 0)</f>
        <v>0</v>
      </c>
      <c r="T31" s="189">
        <f>IF(T30&lt;'4-AdditionalInputs'!$D$24, '4-AdditionalInputs'!$D$24-T30, 0)</f>
        <v>0</v>
      </c>
      <c r="U31" s="189">
        <f>IF(U30&lt;'4-AdditionalInputs'!$D$24, '4-AdditionalInputs'!$D$24-U30, 0)</f>
        <v>0</v>
      </c>
      <c r="V31" s="189">
        <f>IF(V30&lt;'4-AdditionalInputs'!$D$24, '4-AdditionalInputs'!$D$24-V30, 0)</f>
        <v>0</v>
      </c>
      <c r="W31" s="189">
        <f>IF(W30&lt;'4-AdditionalInputs'!$D$24, '4-AdditionalInputs'!$D$24-W30, 0)</f>
        <v>0</v>
      </c>
      <c r="X31" s="189">
        <f>IF(X30&lt;'4-AdditionalInputs'!$D$24, '4-AdditionalInputs'!$D$24-X30, 0)</f>
        <v>0</v>
      </c>
      <c r="Y31" s="189">
        <f>IF(Y30&lt;'4-AdditionalInputs'!$D$24, '4-AdditionalInputs'!$D$24-Y30, 0)</f>
        <v>0</v>
      </c>
      <c r="Z31" s="189">
        <f>IF(Z30&lt;'4-AdditionalInputs'!$D$24, '4-AdditionalInputs'!$D$24-Z30, 0)</f>
        <v>0</v>
      </c>
      <c r="AA31" s="189">
        <f>IF(AA30&lt;'4-AdditionalInputs'!$D$24, '4-AdditionalInputs'!$D$24-AA30, 0)</f>
        <v>0</v>
      </c>
      <c r="AB31" s="397">
        <f>SUM(P31:AA31)</f>
        <v>0</v>
      </c>
    </row>
    <row r="32" spans="1:28" x14ac:dyDescent="0.35">
      <c r="A32" s="384" t="s">
        <v>193</v>
      </c>
      <c r="B32" s="384"/>
      <c r="C32" s="189">
        <f>SUM(C30+C31)</f>
        <v>0</v>
      </c>
      <c r="D32" s="189">
        <f t="shared" ref="D32:N32" si="10">SUM(D30+D31)</f>
        <v>0</v>
      </c>
      <c r="E32" s="189">
        <f t="shared" si="10"/>
        <v>0</v>
      </c>
      <c r="F32" s="189">
        <f t="shared" si="10"/>
        <v>0</v>
      </c>
      <c r="G32" s="189">
        <f t="shared" si="10"/>
        <v>0</v>
      </c>
      <c r="H32" s="189">
        <f t="shared" si="10"/>
        <v>0</v>
      </c>
      <c r="I32" s="189">
        <f t="shared" si="10"/>
        <v>0</v>
      </c>
      <c r="J32" s="189">
        <f t="shared" si="10"/>
        <v>0</v>
      </c>
      <c r="K32" s="189">
        <f t="shared" si="10"/>
        <v>0</v>
      </c>
      <c r="L32" s="189">
        <f t="shared" si="10"/>
        <v>0</v>
      </c>
      <c r="M32" s="189">
        <f t="shared" si="10"/>
        <v>0</v>
      </c>
      <c r="N32" s="189">
        <f t="shared" si="10"/>
        <v>0</v>
      </c>
      <c r="O32" s="384"/>
      <c r="P32" s="189">
        <f>SUM(P30+P31)</f>
        <v>0</v>
      </c>
      <c r="Q32" s="189">
        <f t="shared" ref="Q32:AA32" si="11">SUM(Q30+Q31)</f>
        <v>0</v>
      </c>
      <c r="R32" s="189">
        <f t="shared" si="11"/>
        <v>0</v>
      </c>
      <c r="S32" s="189">
        <f t="shared" si="11"/>
        <v>0</v>
      </c>
      <c r="T32" s="189">
        <f t="shared" si="11"/>
        <v>0</v>
      </c>
      <c r="U32" s="189">
        <f t="shared" si="11"/>
        <v>0</v>
      </c>
      <c r="V32" s="189">
        <f t="shared" si="11"/>
        <v>0</v>
      </c>
      <c r="W32" s="189">
        <f t="shared" si="11"/>
        <v>0</v>
      </c>
      <c r="X32" s="189">
        <f t="shared" si="11"/>
        <v>0</v>
      </c>
      <c r="Y32" s="189">
        <f t="shared" si="11"/>
        <v>0</v>
      </c>
      <c r="Z32" s="189">
        <f t="shared" si="11"/>
        <v>0</v>
      </c>
      <c r="AA32" s="189">
        <f t="shared" si="11"/>
        <v>0</v>
      </c>
      <c r="AB32" s="397"/>
    </row>
    <row r="33" spans="1:28" x14ac:dyDescent="0.35">
      <c r="A33" s="145" t="s">
        <v>194</v>
      </c>
      <c r="B33" s="145"/>
      <c r="C33" s="165">
        <f>IF(C31=0,'6a-CashFlowYear1'!N34-C26,'6a-CashFlowYear1'!N34+C31-C26)</f>
        <v>0</v>
      </c>
      <c r="D33" s="165">
        <f>D31+C33-D26</f>
        <v>0</v>
      </c>
      <c r="E33" s="165">
        <f t="shared" ref="E33:N33" si="12">E31+D33-E26</f>
        <v>0</v>
      </c>
      <c r="F33" s="165">
        <f t="shared" si="12"/>
        <v>0</v>
      </c>
      <c r="G33" s="165">
        <f t="shared" si="12"/>
        <v>0</v>
      </c>
      <c r="H33" s="165">
        <f t="shared" si="12"/>
        <v>0</v>
      </c>
      <c r="I33" s="165">
        <f t="shared" si="12"/>
        <v>0</v>
      </c>
      <c r="J33" s="165">
        <f t="shared" si="12"/>
        <v>0</v>
      </c>
      <c r="K33" s="165">
        <f t="shared" si="12"/>
        <v>0</v>
      </c>
      <c r="L33" s="165">
        <f t="shared" si="12"/>
        <v>0</v>
      </c>
      <c r="M33" s="165">
        <f t="shared" si="12"/>
        <v>0</v>
      </c>
      <c r="N33" s="165">
        <f t="shared" si="12"/>
        <v>0</v>
      </c>
      <c r="O33" s="145"/>
      <c r="P33" s="165">
        <f>IF(P31=0,N33-P26,N33+P31-P26)</f>
        <v>0</v>
      </c>
      <c r="Q33" s="165">
        <f t="shared" ref="Q33:AA33" si="13">Q31+P33-Q26</f>
        <v>0</v>
      </c>
      <c r="R33" s="165">
        <f t="shared" si="13"/>
        <v>0</v>
      </c>
      <c r="S33" s="165">
        <f t="shared" si="13"/>
        <v>0</v>
      </c>
      <c r="T33" s="165">
        <f t="shared" si="13"/>
        <v>0</v>
      </c>
      <c r="U33" s="165">
        <f t="shared" si="13"/>
        <v>0</v>
      </c>
      <c r="V33" s="165">
        <f t="shared" si="13"/>
        <v>0</v>
      </c>
      <c r="W33" s="165">
        <f t="shared" si="13"/>
        <v>0</v>
      </c>
      <c r="X33" s="165">
        <f t="shared" si="13"/>
        <v>0</v>
      </c>
      <c r="Y33" s="165">
        <f t="shared" si="13"/>
        <v>0</v>
      </c>
      <c r="Z33" s="165">
        <f t="shared" si="13"/>
        <v>0</v>
      </c>
      <c r="AA33" s="165">
        <f t="shared" si="13"/>
        <v>0</v>
      </c>
      <c r="AB33" s="397"/>
    </row>
  </sheetData>
  <sheetProtection formatColumns="0" formatRows="0"/>
  <conditionalFormatting sqref="C24:N24 C26:N27">
    <cfRule type="containsBlanks" dxfId="42" priority="14" stopIfTrue="1">
      <formula>LEN(TRIM(C24))=0</formula>
    </cfRule>
  </conditionalFormatting>
  <conditionalFormatting sqref="C28:O28">
    <cfRule type="expression" dxfId="41" priority="12" stopIfTrue="1">
      <formula>ISERROR(C28)</formula>
    </cfRule>
  </conditionalFormatting>
  <conditionalFormatting sqref="C29:N30 D7:N7 D31:N31 C23:O23">
    <cfRule type="expression" dxfId="40" priority="11" stopIfTrue="1">
      <formula>ISERROR(C7)</formula>
    </cfRule>
  </conditionalFormatting>
  <conditionalFormatting sqref="C32:N32">
    <cfRule type="expression" dxfId="39" priority="10" stopIfTrue="1">
      <formula>ISERROR(C32)</formula>
    </cfRule>
  </conditionalFormatting>
  <conditionalFormatting sqref="C31:N31">
    <cfRule type="containsBlanks" dxfId="38" priority="9">
      <formula>LEN(TRIM(C31))=0</formula>
    </cfRule>
  </conditionalFormatting>
  <conditionalFormatting sqref="P24:AA24 P26:AA27">
    <cfRule type="containsBlanks" dxfId="37" priority="16" stopIfTrue="1">
      <formula>LEN(TRIM(P24))=0</formula>
    </cfRule>
  </conditionalFormatting>
  <conditionalFormatting sqref="P28:AB28 AB29">
    <cfRule type="expression" dxfId="36" priority="8" stopIfTrue="1">
      <formula>ISERROR(P28)</formula>
    </cfRule>
  </conditionalFormatting>
  <conditionalFormatting sqref="P29:AA30 Q31:AA31 Q7:AA7">
    <cfRule type="expression" dxfId="35" priority="7" stopIfTrue="1">
      <formula>ISERROR(P7)</formula>
    </cfRule>
  </conditionalFormatting>
  <conditionalFormatting sqref="P32:AA32">
    <cfRule type="expression" dxfId="34" priority="6" stopIfTrue="1">
      <formula>ISERROR(P32)</formula>
    </cfRule>
  </conditionalFormatting>
  <conditionalFormatting sqref="AB30:AB33">
    <cfRule type="expression" dxfId="33" priority="5" stopIfTrue="1">
      <formula>ISERROR(AB30)</formula>
    </cfRule>
  </conditionalFormatting>
  <conditionalFormatting sqref="P31:AA31">
    <cfRule type="containsBlanks" dxfId="32" priority="4">
      <formula>LEN(TRIM(P31))=0</formula>
    </cfRule>
  </conditionalFormatting>
  <conditionalFormatting sqref="P23:AA23">
    <cfRule type="expression" dxfId="31" priority="3" stopIfTrue="1">
      <formula>ISERROR(P23)</formula>
    </cfRule>
  </conditionalFormatting>
  <conditionalFormatting sqref="O29">
    <cfRule type="expression" dxfId="30" priority="2" stopIfTrue="1">
      <formula>ISERROR(O29)</formula>
    </cfRule>
  </conditionalFormatting>
  <conditionalFormatting sqref="C16:N16">
    <cfRule type="containsBlanks" dxfId="29" priority="15" stopIfTrue="1">
      <formula>LEN(TRIM(C16))=0</formula>
    </cfRule>
  </conditionalFormatting>
  <conditionalFormatting sqref="P16:AA16">
    <cfRule type="containsBlanks" dxfId="28" priority="13" stopIfTrue="1">
      <formula>LEN(TRIM(P16))=0</formula>
    </cfRule>
  </conditionalFormatting>
  <conditionalFormatting sqref="O31">
    <cfRule type="expression" dxfId="27" priority="1" stopIfTrue="1">
      <formula>ISERROR(O31)</formula>
    </cfRule>
  </conditionalFormatting>
  <dataValidations count="1">
    <dataValidation type="textLength" allowBlank="1" showInputMessage="1" showErrorMessage="1"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formula1>1</formula1>
      <formula2>15</formula2>
    </dataValidation>
  </dataValidations>
  <pageMargins left="0.7" right="0.7" top="0.75" bottom="0.75" header="0.3" footer="0.3"/>
  <pageSetup scale="71" fitToWidth="2" orientation="landscape" r:id="rId1"/>
  <headerFooter differentFirst="1" scaleWithDoc="0">
    <oddHeader>&amp;C&amp;"Gill Sans MT,Regular"&amp;12Cash Flow Forecast Years 1-3</oddHeader>
    <oddFooter>&amp;L&amp;F&amp;C&amp;A&amp;R&amp;D &amp;T</oddFooter>
    <evenHeader>&amp;C&amp;"Gill Sans MT,Regular"Cash Flow Forecast Years 1-3</evenHeader>
    <firstHeader>&amp;C&amp;"Gill Sans MT,Regular"&amp;12Cash Flow Forecast Years 1-3</firstHeader>
    <firstFooter>&amp;L&amp;F&amp;C&amp;A&amp;R&amp;D &amp;T</firstFooter>
  </headerFooter>
  <colBreaks count="1" manualBreakCount="1">
    <brk id="15" min="2" max="32" man="1"/>
  </col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autoPageBreaks="0"/>
  </sheetPr>
  <dimension ref="A1:O67"/>
  <sheetViews>
    <sheetView topLeftCell="A16" zoomScale="70" zoomScaleNormal="70" zoomScalePageLayoutView="50" workbookViewId="0">
      <selection activeCell="J32" sqref="J32"/>
    </sheetView>
  </sheetViews>
  <sheetFormatPr defaultColWidth="9.125" defaultRowHeight="15.75" x14ac:dyDescent="0.35"/>
  <cols>
    <col min="1" max="1" width="9.125" style="400"/>
    <col min="2" max="2" width="46.75" style="400" bestFit="1" customWidth="1"/>
    <col min="3" max="10" width="10.25" style="400" bestFit="1" customWidth="1"/>
    <col min="11" max="11" width="11.875" style="400" bestFit="1" customWidth="1"/>
    <col min="12" max="12" width="10.25" style="400" bestFit="1" customWidth="1"/>
    <col min="13" max="13" width="10" style="400" customWidth="1"/>
    <col min="14" max="14" width="11.125" style="400" bestFit="1" customWidth="1"/>
    <col min="15" max="15" width="14.875" style="400" bestFit="1" customWidth="1"/>
    <col min="16" max="257" width="9.125" style="400"/>
    <col min="258" max="258" width="46.75" style="400" bestFit="1" customWidth="1"/>
    <col min="259" max="266" width="10.25" style="400" bestFit="1" customWidth="1"/>
    <col min="267" max="267" width="11.875" style="400" bestFit="1" customWidth="1"/>
    <col min="268" max="268" width="10.25" style="400" bestFit="1" customWidth="1"/>
    <col min="269" max="269" width="10" style="400" customWidth="1"/>
    <col min="270" max="270" width="11.125" style="400" bestFit="1" customWidth="1"/>
    <col min="271" max="271" width="14.875" style="400" bestFit="1" customWidth="1"/>
    <col min="272" max="513" width="9.125" style="400"/>
    <col min="514" max="514" width="46.75" style="400" bestFit="1" customWidth="1"/>
    <col min="515" max="522" width="10.25" style="400" bestFit="1" customWidth="1"/>
    <col min="523" max="523" width="11.875" style="400" bestFit="1" customWidth="1"/>
    <col min="524" max="524" width="10.25" style="400" bestFit="1" customWidth="1"/>
    <col min="525" max="525" width="10" style="400" customWidth="1"/>
    <col min="526" max="526" width="11.125" style="400" bestFit="1" customWidth="1"/>
    <col min="527" max="527" width="14.875" style="400" bestFit="1" customWidth="1"/>
    <col min="528" max="769" width="9.125" style="400"/>
    <col min="770" max="770" width="46.75" style="400" bestFit="1" customWidth="1"/>
    <col min="771" max="778" width="10.25" style="400" bestFit="1" customWidth="1"/>
    <col min="779" max="779" width="11.875" style="400" bestFit="1" customWidth="1"/>
    <col min="780" max="780" width="10.25" style="400" bestFit="1" customWidth="1"/>
    <col min="781" max="781" width="10" style="400" customWidth="1"/>
    <col min="782" max="782" width="11.125" style="400" bestFit="1" customWidth="1"/>
    <col min="783" max="783" width="14.875" style="400" bestFit="1" customWidth="1"/>
    <col min="784" max="1025" width="9.125" style="400"/>
    <col min="1026" max="1026" width="46.75" style="400" bestFit="1" customWidth="1"/>
    <col min="1027" max="1034" width="10.25" style="400" bestFit="1" customWidth="1"/>
    <col min="1035" max="1035" width="11.875" style="400" bestFit="1" customWidth="1"/>
    <col min="1036" max="1036" width="10.25" style="400" bestFit="1" customWidth="1"/>
    <col min="1037" max="1037" width="10" style="400" customWidth="1"/>
    <col min="1038" max="1038" width="11.125" style="400" bestFit="1" customWidth="1"/>
    <col min="1039" max="1039" width="14.875" style="400" bestFit="1" customWidth="1"/>
    <col min="1040" max="1281" width="9.125" style="400"/>
    <col min="1282" max="1282" width="46.75" style="400" bestFit="1" customWidth="1"/>
    <col min="1283" max="1290" width="10.25" style="400" bestFit="1" customWidth="1"/>
    <col min="1291" max="1291" width="11.875" style="400" bestFit="1" customWidth="1"/>
    <col min="1292" max="1292" width="10.25" style="400" bestFit="1" customWidth="1"/>
    <col min="1293" max="1293" width="10" style="400" customWidth="1"/>
    <col min="1294" max="1294" width="11.125" style="400" bestFit="1" customWidth="1"/>
    <col min="1295" max="1295" width="14.875" style="400" bestFit="1" customWidth="1"/>
    <col min="1296" max="1537" width="9.125" style="400"/>
    <col min="1538" max="1538" width="46.75" style="400" bestFit="1" customWidth="1"/>
    <col min="1539" max="1546" width="10.25" style="400" bestFit="1" customWidth="1"/>
    <col min="1547" max="1547" width="11.875" style="400" bestFit="1" customWidth="1"/>
    <col min="1548" max="1548" width="10.25" style="400" bestFit="1" customWidth="1"/>
    <col min="1549" max="1549" width="10" style="400" customWidth="1"/>
    <col min="1550" max="1550" width="11.125" style="400" bestFit="1" customWidth="1"/>
    <col min="1551" max="1551" width="14.875" style="400" bestFit="1" customWidth="1"/>
    <col min="1552" max="1793" width="9.125" style="400"/>
    <col min="1794" max="1794" width="46.75" style="400" bestFit="1" customWidth="1"/>
    <col min="1795" max="1802" width="10.25" style="400" bestFit="1" customWidth="1"/>
    <col min="1803" max="1803" width="11.875" style="400" bestFit="1" customWidth="1"/>
    <col min="1804" max="1804" width="10.25" style="400" bestFit="1" customWidth="1"/>
    <col min="1805" max="1805" width="10" style="400" customWidth="1"/>
    <col min="1806" max="1806" width="11.125" style="400" bestFit="1" customWidth="1"/>
    <col min="1807" max="1807" width="14.875" style="400" bestFit="1" customWidth="1"/>
    <col min="1808" max="2049" width="9.125" style="400"/>
    <col min="2050" max="2050" width="46.75" style="400" bestFit="1" customWidth="1"/>
    <col min="2051" max="2058" width="10.25" style="400" bestFit="1" customWidth="1"/>
    <col min="2059" max="2059" width="11.875" style="400" bestFit="1" customWidth="1"/>
    <col min="2060" max="2060" width="10.25" style="400" bestFit="1" customWidth="1"/>
    <col min="2061" max="2061" width="10" style="400" customWidth="1"/>
    <col min="2062" max="2062" width="11.125" style="400" bestFit="1" customWidth="1"/>
    <col min="2063" max="2063" width="14.875" style="400" bestFit="1" customWidth="1"/>
    <col min="2064" max="2305" width="9.125" style="400"/>
    <col min="2306" max="2306" width="46.75" style="400" bestFit="1" customWidth="1"/>
    <col min="2307" max="2314" width="10.25" style="400" bestFit="1" customWidth="1"/>
    <col min="2315" max="2315" width="11.875" style="400" bestFit="1" customWidth="1"/>
    <col min="2316" max="2316" width="10.25" style="400" bestFit="1" customWidth="1"/>
    <col min="2317" max="2317" width="10" style="400" customWidth="1"/>
    <col min="2318" max="2318" width="11.125" style="400" bestFit="1" customWidth="1"/>
    <col min="2319" max="2319" width="14.875" style="400" bestFit="1" customWidth="1"/>
    <col min="2320" max="2561" width="9.125" style="400"/>
    <col min="2562" max="2562" width="46.75" style="400" bestFit="1" customWidth="1"/>
    <col min="2563" max="2570" width="10.25" style="400" bestFit="1" customWidth="1"/>
    <col min="2571" max="2571" width="11.875" style="400" bestFit="1" customWidth="1"/>
    <col min="2572" max="2572" width="10.25" style="400" bestFit="1" customWidth="1"/>
    <col min="2573" max="2573" width="10" style="400" customWidth="1"/>
    <col min="2574" max="2574" width="11.125" style="400" bestFit="1" customWidth="1"/>
    <col min="2575" max="2575" width="14.875" style="400" bestFit="1" customWidth="1"/>
    <col min="2576" max="2817" width="9.125" style="400"/>
    <col min="2818" max="2818" width="46.75" style="400" bestFit="1" customWidth="1"/>
    <col min="2819" max="2826" width="10.25" style="400" bestFit="1" customWidth="1"/>
    <col min="2827" max="2827" width="11.875" style="400" bestFit="1" customWidth="1"/>
    <col min="2828" max="2828" width="10.25" style="400" bestFit="1" customWidth="1"/>
    <col min="2829" max="2829" width="10" style="400" customWidth="1"/>
    <col min="2830" max="2830" width="11.125" style="400" bestFit="1" customWidth="1"/>
    <col min="2831" max="2831" width="14.875" style="400" bestFit="1" customWidth="1"/>
    <col min="2832" max="3073" width="9.125" style="400"/>
    <col min="3074" max="3074" width="46.75" style="400" bestFit="1" customWidth="1"/>
    <col min="3075" max="3082" width="10.25" style="400" bestFit="1" customWidth="1"/>
    <col min="3083" max="3083" width="11.875" style="400" bestFit="1" customWidth="1"/>
    <col min="3084" max="3084" width="10.25" style="400" bestFit="1" customWidth="1"/>
    <col min="3085" max="3085" width="10" style="400" customWidth="1"/>
    <col min="3086" max="3086" width="11.125" style="400" bestFit="1" customWidth="1"/>
    <col min="3087" max="3087" width="14.875" style="400" bestFit="1" customWidth="1"/>
    <col min="3088" max="3329" width="9.125" style="400"/>
    <col min="3330" max="3330" width="46.75" style="400" bestFit="1" customWidth="1"/>
    <col min="3331" max="3338" width="10.25" style="400" bestFit="1" customWidth="1"/>
    <col min="3339" max="3339" width="11.875" style="400" bestFit="1" customWidth="1"/>
    <col min="3340" max="3340" width="10.25" style="400" bestFit="1" customWidth="1"/>
    <col min="3341" max="3341" width="10" style="400" customWidth="1"/>
    <col min="3342" max="3342" width="11.125" style="400" bestFit="1" customWidth="1"/>
    <col min="3343" max="3343" width="14.875" style="400" bestFit="1" customWidth="1"/>
    <col min="3344" max="3585" width="9.125" style="400"/>
    <col min="3586" max="3586" width="46.75" style="400" bestFit="1" customWidth="1"/>
    <col min="3587" max="3594" width="10.25" style="400" bestFit="1" customWidth="1"/>
    <col min="3595" max="3595" width="11.875" style="400" bestFit="1" customWidth="1"/>
    <col min="3596" max="3596" width="10.25" style="400" bestFit="1" customWidth="1"/>
    <col min="3597" max="3597" width="10" style="400" customWidth="1"/>
    <col min="3598" max="3598" width="11.125" style="400" bestFit="1" customWidth="1"/>
    <col min="3599" max="3599" width="14.875" style="400" bestFit="1" customWidth="1"/>
    <col min="3600" max="3841" width="9.125" style="400"/>
    <col min="3842" max="3842" width="46.75" style="400" bestFit="1" customWidth="1"/>
    <col min="3843" max="3850" width="10.25" style="400" bestFit="1" customWidth="1"/>
    <col min="3851" max="3851" width="11.875" style="400" bestFit="1" customWidth="1"/>
    <col min="3852" max="3852" width="10.25" style="400" bestFit="1" customWidth="1"/>
    <col min="3853" max="3853" width="10" style="400" customWidth="1"/>
    <col min="3854" max="3854" width="11.125" style="400" bestFit="1" customWidth="1"/>
    <col min="3855" max="3855" width="14.875" style="400" bestFit="1" customWidth="1"/>
    <col min="3856" max="4097" width="9.125" style="400"/>
    <col min="4098" max="4098" width="46.75" style="400" bestFit="1" customWidth="1"/>
    <col min="4099" max="4106" width="10.25" style="400" bestFit="1" customWidth="1"/>
    <col min="4107" max="4107" width="11.875" style="400" bestFit="1" customWidth="1"/>
    <col min="4108" max="4108" width="10.25" style="400" bestFit="1" customWidth="1"/>
    <col min="4109" max="4109" width="10" style="400" customWidth="1"/>
    <col min="4110" max="4110" width="11.125" style="400" bestFit="1" customWidth="1"/>
    <col min="4111" max="4111" width="14.875" style="400" bestFit="1" customWidth="1"/>
    <col min="4112" max="4353" width="9.125" style="400"/>
    <col min="4354" max="4354" width="46.75" style="400" bestFit="1" customWidth="1"/>
    <col min="4355" max="4362" width="10.25" style="400" bestFit="1" customWidth="1"/>
    <col min="4363" max="4363" width="11.875" style="400" bestFit="1" customWidth="1"/>
    <col min="4364" max="4364" width="10.25" style="400" bestFit="1" customWidth="1"/>
    <col min="4365" max="4365" width="10" style="400" customWidth="1"/>
    <col min="4366" max="4366" width="11.125" style="400" bestFit="1" customWidth="1"/>
    <col min="4367" max="4367" width="14.875" style="400" bestFit="1" customWidth="1"/>
    <col min="4368" max="4609" width="9.125" style="400"/>
    <col min="4610" max="4610" width="46.75" style="400" bestFit="1" customWidth="1"/>
    <col min="4611" max="4618" width="10.25" style="400" bestFit="1" customWidth="1"/>
    <col min="4619" max="4619" width="11.875" style="400" bestFit="1" customWidth="1"/>
    <col min="4620" max="4620" width="10.25" style="400" bestFit="1" customWidth="1"/>
    <col min="4621" max="4621" width="10" style="400" customWidth="1"/>
    <col min="4622" max="4622" width="11.125" style="400" bestFit="1" customWidth="1"/>
    <col min="4623" max="4623" width="14.875" style="400" bestFit="1" customWidth="1"/>
    <col min="4624" max="4865" width="9.125" style="400"/>
    <col min="4866" max="4866" width="46.75" style="400" bestFit="1" customWidth="1"/>
    <col min="4867" max="4874" width="10.25" style="400" bestFit="1" customWidth="1"/>
    <col min="4875" max="4875" width="11.875" style="400" bestFit="1" customWidth="1"/>
    <col min="4876" max="4876" width="10.25" style="400" bestFit="1" customWidth="1"/>
    <col min="4877" max="4877" width="10" style="400" customWidth="1"/>
    <col min="4878" max="4878" width="11.125" style="400" bestFit="1" customWidth="1"/>
    <col min="4879" max="4879" width="14.875" style="400" bestFit="1" customWidth="1"/>
    <col min="4880" max="5121" width="9.125" style="400"/>
    <col min="5122" max="5122" width="46.75" style="400" bestFit="1" customWidth="1"/>
    <col min="5123" max="5130" width="10.25" style="400" bestFit="1" customWidth="1"/>
    <col min="5131" max="5131" width="11.875" style="400" bestFit="1" customWidth="1"/>
    <col min="5132" max="5132" width="10.25" style="400" bestFit="1" customWidth="1"/>
    <col min="5133" max="5133" width="10" style="400" customWidth="1"/>
    <col min="5134" max="5134" width="11.125" style="400" bestFit="1" customWidth="1"/>
    <col min="5135" max="5135" width="14.875" style="400" bestFit="1" customWidth="1"/>
    <col min="5136" max="5377" width="9.125" style="400"/>
    <col min="5378" max="5378" width="46.75" style="400" bestFit="1" customWidth="1"/>
    <col min="5379" max="5386" width="10.25" style="400" bestFit="1" customWidth="1"/>
    <col min="5387" max="5387" width="11.875" style="400" bestFit="1" customWidth="1"/>
    <col min="5388" max="5388" width="10.25" style="400" bestFit="1" customWidth="1"/>
    <col min="5389" max="5389" width="10" style="400" customWidth="1"/>
    <col min="5390" max="5390" width="11.125" style="400" bestFit="1" customWidth="1"/>
    <col min="5391" max="5391" width="14.875" style="400" bestFit="1" customWidth="1"/>
    <col min="5392" max="5633" width="9.125" style="400"/>
    <col min="5634" max="5634" width="46.75" style="400" bestFit="1" customWidth="1"/>
    <col min="5635" max="5642" width="10.25" style="400" bestFit="1" customWidth="1"/>
    <col min="5643" max="5643" width="11.875" style="400" bestFit="1" customWidth="1"/>
    <col min="5644" max="5644" width="10.25" style="400" bestFit="1" customWidth="1"/>
    <col min="5645" max="5645" width="10" style="400" customWidth="1"/>
    <col min="5646" max="5646" width="11.125" style="400" bestFit="1" customWidth="1"/>
    <col min="5647" max="5647" width="14.875" style="400" bestFit="1" customWidth="1"/>
    <col min="5648" max="5889" width="9.125" style="400"/>
    <col min="5890" max="5890" width="46.75" style="400" bestFit="1" customWidth="1"/>
    <col min="5891" max="5898" width="10.25" style="400" bestFit="1" customWidth="1"/>
    <col min="5899" max="5899" width="11.875" style="400" bestFit="1" customWidth="1"/>
    <col min="5900" max="5900" width="10.25" style="400" bestFit="1" customWidth="1"/>
    <col min="5901" max="5901" width="10" style="400" customWidth="1"/>
    <col min="5902" max="5902" width="11.125" style="400" bestFit="1" customWidth="1"/>
    <col min="5903" max="5903" width="14.875" style="400" bestFit="1" customWidth="1"/>
    <col min="5904" max="6145" width="9.125" style="400"/>
    <col min="6146" max="6146" width="46.75" style="400" bestFit="1" customWidth="1"/>
    <col min="6147" max="6154" width="10.25" style="400" bestFit="1" customWidth="1"/>
    <col min="6155" max="6155" width="11.875" style="400" bestFit="1" customWidth="1"/>
    <col min="6156" max="6156" width="10.25" style="400" bestFit="1" customWidth="1"/>
    <col min="6157" max="6157" width="10" style="400" customWidth="1"/>
    <col min="6158" max="6158" width="11.125" style="400" bestFit="1" customWidth="1"/>
    <col min="6159" max="6159" width="14.875" style="400" bestFit="1" customWidth="1"/>
    <col min="6160" max="6401" width="9.125" style="400"/>
    <col min="6402" max="6402" width="46.75" style="400" bestFit="1" customWidth="1"/>
    <col min="6403" max="6410" width="10.25" style="400" bestFit="1" customWidth="1"/>
    <col min="6411" max="6411" width="11.875" style="400" bestFit="1" customWidth="1"/>
    <col min="6412" max="6412" width="10.25" style="400" bestFit="1" customWidth="1"/>
    <col min="6413" max="6413" width="10" style="400" customWidth="1"/>
    <col min="6414" max="6414" width="11.125" style="400" bestFit="1" customWidth="1"/>
    <col min="6415" max="6415" width="14.875" style="400" bestFit="1" customWidth="1"/>
    <col min="6416" max="6657" width="9.125" style="400"/>
    <col min="6658" max="6658" width="46.75" style="400" bestFit="1" customWidth="1"/>
    <col min="6659" max="6666" width="10.25" style="400" bestFit="1" customWidth="1"/>
    <col min="6667" max="6667" width="11.875" style="400" bestFit="1" customWidth="1"/>
    <col min="6668" max="6668" width="10.25" style="400" bestFit="1" customWidth="1"/>
    <col min="6669" max="6669" width="10" style="400" customWidth="1"/>
    <col min="6670" max="6670" width="11.125" style="400" bestFit="1" customWidth="1"/>
    <col min="6671" max="6671" width="14.875" style="400" bestFit="1" customWidth="1"/>
    <col min="6672" max="6913" width="9.125" style="400"/>
    <col min="6914" max="6914" width="46.75" style="400" bestFit="1" customWidth="1"/>
    <col min="6915" max="6922" width="10.25" style="400" bestFit="1" customWidth="1"/>
    <col min="6923" max="6923" width="11.875" style="400" bestFit="1" customWidth="1"/>
    <col min="6924" max="6924" width="10.25" style="400" bestFit="1" customWidth="1"/>
    <col min="6925" max="6925" width="10" style="400" customWidth="1"/>
    <col min="6926" max="6926" width="11.125" style="400" bestFit="1" customWidth="1"/>
    <col min="6927" max="6927" width="14.875" style="400" bestFit="1" customWidth="1"/>
    <col min="6928" max="7169" width="9.125" style="400"/>
    <col min="7170" max="7170" width="46.75" style="400" bestFit="1" customWidth="1"/>
    <col min="7171" max="7178" width="10.25" style="400" bestFit="1" customWidth="1"/>
    <col min="7179" max="7179" width="11.875" style="400" bestFit="1" customWidth="1"/>
    <col min="7180" max="7180" width="10.25" style="400" bestFit="1" customWidth="1"/>
    <col min="7181" max="7181" width="10" style="400" customWidth="1"/>
    <col min="7182" max="7182" width="11.125" style="400" bestFit="1" customWidth="1"/>
    <col min="7183" max="7183" width="14.875" style="400" bestFit="1" customWidth="1"/>
    <col min="7184" max="7425" width="9.125" style="400"/>
    <col min="7426" max="7426" width="46.75" style="400" bestFit="1" customWidth="1"/>
    <col min="7427" max="7434" width="10.25" style="400" bestFit="1" customWidth="1"/>
    <col min="7435" max="7435" width="11.875" style="400" bestFit="1" customWidth="1"/>
    <col min="7436" max="7436" width="10.25" style="400" bestFit="1" customWidth="1"/>
    <col min="7437" max="7437" width="10" style="400" customWidth="1"/>
    <col min="7438" max="7438" width="11.125" style="400" bestFit="1" customWidth="1"/>
    <col min="7439" max="7439" width="14.875" style="400" bestFit="1" customWidth="1"/>
    <col min="7440" max="7681" width="9.125" style="400"/>
    <col min="7682" max="7682" width="46.75" style="400" bestFit="1" customWidth="1"/>
    <col min="7683" max="7690" width="10.25" style="400" bestFit="1" customWidth="1"/>
    <col min="7691" max="7691" width="11.875" style="400" bestFit="1" customWidth="1"/>
    <col min="7692" max="7692" width="10.25" style="400" bestFit="1" customWidth="1"/>
    <col min="7693" max="7693" width="10" style="400" customWidth="1"/>
    <col min="7694" max="7694" width="11.125" style="400" bestFit="1" customWidth="1"/>
    <col min="7695" max="7695" width="14.875" style="400" bestFit="1" customWidth="1"/>
    <col min="7696" max="7937" width="9.125" style="400"/>
    <col min="7938" max="7938" width="46.75" style="400" bestFit="1" customWidth="1"/>
    <col min="7939" max="7946" width="10.25" style="400" bestFit="1" customWidth="1"/>
    <col min="7947" max="7947" width="11.875" style="400" bestFit="1" customWidth="1"/>
    <col min="7948" max="7948" width="10.25" style="400" bestFit="1" customWidth="1"/>
    <col min="7949" max="7949" width="10" style="400" customWidth="1"/>
    <col min="7950" max="7950" width="11.125" style="400" bestFit="1" customWidth="1"/>
    <col min="7951" max="7951" width="14.875" style="400" bestFit="1" customWidth="1"/>
    <col min="7952" max="8193" width="9.125" style="400"/>
    <col min="8194" max="8194" width="46.75" style="400" bestFit="1" customWidth="1"/>
    <col min="8195" max="8202" width="10.25" style="400" bestFit="1" customWidth="1"/>
    <col min="8203" max="8203" width="11.875" style="400" bestFit="1" customWidth="1"/>
    <col min="8204" max="8204" width="10.25" style="400" bestFit="1" customWidth="1"/>
    <col min="8205" max="8205" width="10" style="400" customWidth="1"/>
    <col min="8206" max="8206" width="11.125" style="400" bestFit="1" customWidth="1"/>
    <col min="8207" max="8207" width="14.875" style="400" bestFit="1" customWidth="1"/>
    <col min="8208" max="8449" width="9.125" style="400"/>
    <col min="8450" max="8450" width="46.75" style="400" bestFit="1" customWidth="1"/>
    <col min="8451" max="8458" width="10.25" style="400" bestFit="1" customWidth="1"/>
    <col min="8459" max="8459" width="11.875" style="400" bestFit="1" customWidth="1"/>
    <col min="8460" max="8460" width="10.25" style="400" bestFit="1" customWidth="1"/>
    <col min="8461" max="8461" width="10" style="400" customWidth="1"/>
    <col min="8462" max="8462" width="11.125" style="400" bestFit="1" customWidth="1"/>
    <col min="8463" max="8463" width="14.875" style="400" bestFit="1" customWidth="1"/>
    <col min="8464" max="8705" width="9.125" style="400"/>
    <col min="8706" max="8706" width="46.75" style="400" bestFit="1" customWidth="1"/>
    <col min="8707" max="8714" width="10.25" style="400" bestFit="1" customWidth="1"/>
    <col min="8715" max="8715" width="11.875" style="400" bestFit="1" customWidth="1"/>
    <col min="8716" max="8716" width="10.25" style="400" bestFit="1" customWidth="1"/>
    <col min="8717" max="8717" width="10" style="400" customWidth="1"/>
    <col min="8718" max="8718" width="11.125" style="400" bestFit="1" customWidth="1"/>
    <col min="8719" max="8719" width="14.875" style="400" bestFit="1" customWidth="1"/>
    <col min="8720" max="8961" width="9.125" style="400"/>
    <col min="8962" max="8962" width="46.75" style="400" bestFit="1" customWidth="1"/>
    <col min="8963" max="8970" width="10.25" style="400" bestFit="1" customWidth="1"/>
    <col min="8971" max="8971" width="11.875" style="400" bestFit="1" customWidth="1"/>
    <col min="8972" max="8972" width="10.25" style="400" bestFit="1" customWidth="1"/>
    <col min="8973" max="8973" width="10" style="400" customWidth="1"/>
    <col min="8974" max="8974" width="11.125" style="400" bestFit="1" customWidth="1"/>
    <col min="8975" max="8975" width="14.875" style="400" bestFit="1" customWidth="1"/>
    <col min="8976" max="9217" width="9.125" style="400"/>
    <col min="9218" max="9218" width="46.75" style="400" bestFit="1" customWidth="1"/>
    <col min="9219" max="9226" width="10.25" style="400" bestFit="1" customWidth="1"/>
    <col min="9227" max="9227" width="11.875" style="400" bestFit="1" customWidth="1"/>
    <col min="9228" max="9228" width="10.25" style="400" bestFit="1" customWidth="1"/>
    <col min="9229" max="9229" width="10" style="400" customWidth="1"/>
    <col min="9230" max="9230" width="11.125" style="400" bestFit="1" customWidth="1"/>
    <col min="9231" max="9231" width="14.875" style="400" bestFit="1" customWidth="1"/>
    <col min="9232" max="9473" width="9.125" style="400"/>
    <col min="9474" max="9474" width="46.75" style="400" bestFit="1" customWidth="1"/>
    <col min="9475" max="9482" width="10.25" style="400" bestFit="1" customWidth="1"/>
    <col min="9483" max="9483" width="11.875" style="400" bestFit="1" customWidth="1"/>
    <col min="9484" max="9484" width="10.25" style="400" bestFit="1" customWidth="1"/>
    <col min="9485" max="9485" width="10" style="400" customWidth="1"/>
    <col min="9486" max="9486" width="11.125" style="400" bestFit="1" customWidth="1"/>
    <col min="9487" max="9487" width="14.875" style="400" bestFit="1" customWidth="1"/>
    <col min="9488" max="9729" width="9.125" style="400"/>
    <col min="9730" max="9730" width="46.75" style="400" bestFit="1" customWidth="1"/>
    <col min="9731" max="9738" width="10.25" style="400" bestFit="1" customWidth="1"/>
    <col min="9739" max="9739" width="11.875" style="400" bestFit="1" customWidth="1"/>
    <col min="9740" max="9740" width="10.25" style="400" bestFit="1" customWidth="1"/>
    <col min="9741" max="9741" width="10" style="400" customWidth="1"/>
    <col min="9742" max="9742" width="11.125" style="400" bestFit="1" customWidth="1"/>
    <col min="9743" max="9743" width="14.875" style="400" bestFit="1" customWidth="1"/>
    <col min="9744" max="9985" width="9.125" style="400"/>
    <col min="9986" max="9986" width="46.75" style="400" bestFit="1" customWidth="1"/>
    <col min="9987" max="9994" width="10.25" style="400" bestFit="1" customWidth="1"/>
    <col min="9995" max="9995" width="11.875" style="400" bestFit="1" customWidth="1"/>
    <col min="9996" max="9996" width="10.25" style="400" bestFit="1" customWidth="1"/>
    <col min="9997" max="9997" width="10" style="400" customWidth="1"/>
    <col min="9998" max="9998" width="11.125" style="400" bestFit="1" customWidth="1"/>
    <col min="9999" max="9999" width="14.875" style="400" bestFit="1" customWidth="1"/>
    <col min="10000" max="10241" width="9.125" style="400"/>
    <col min="10242" max="10242" width="46.75" style="400" bestFit="1" customWidth="1"/>
    <col min="10243" max="10250" width="10.25" style="400" bestFit="1" customWidth="1"/>
    <col min="10251" max="10251" width="11.875" style="400" bestFit="1" customWidth="1"/>
    <col min="10252" max="10252" width="10.25" style="400" bestFit="1" customWidth="1"/>
    <col min="10253" max="10253" width="10" style="400" customWidth="1"/>
    <col min="10254" max="10254" width="11.125" style="400" bestFit="1" customWidth="1"/>
    <col min="10255" max="10255" width="14.875" style="400" bestFit="1" customWidth="1"/>
    <col min="10256" max="10497" width="9.125" style="400"/>
    <col min="10498" max="10498" width="46.75" style="400" bestFit="1" customWidth="1"/>
    <col min="10499" max="10506" width="10.25" style="400" bestFit="1" customWidth="1"/>
    <col min="10507" max="10507" width="11.875" style="400" bestFit="1" customWidth="1"/>
    <col min="10508" max="10508" width="10.25" style="400" bestFit="1" customWidth="1"/>
    <col min="10509" max="10509" width="10" style="400" customWidth="1"/>
    <col min="10510" max="10510" width="11.125" style="400" bestFit="1" customWidth="1"/>
    <col min="10511" max="10511" width="14.875" style="400" bestFit="1" customWidth="1"/>
    <col min="10512" max="10753" width="9.125" style="400"/>
    <col min="10754" max="10754" width="46.75" style="400" bestFit="1" customWidth="1"/>
    <col min="10755" max="10762" width="10.25" style="400" bestFit="1" customWidth="1"/>
    <col min="10763" max="10763" width="11.875" style="400" bestFit="1" customWidth="1"/>
    <col min="10764" max="10764" width="10.25" style="400" bestFit="1" customWidth="1"/>
    <col min="10765" max="10765" width="10" style="400" customWidth="1"/>
    <col min="10766" max="10766" width="11.125" style="400" bestFit="1" customWidth="1"/>
    <col min="10767" max="10767" width="14.875" style="400" bestFit="1" customWidth="1"/>
    <col min="10768" max="11009" width="9.125" style="400"/>
    <col min="11010" max="11010" width="46.75" style="400" bestFit="1" customWidth="1"/>
    <col min="11011" max="11018" width="10.25" style="400" bestFit="1" customWidth="1"/>
    <col min="11019" max="11019" width="11.875" style="400" bestFit="1" customWidth="1"/>
    <col min="11020" max="11020" width="10.25" style="400" bestFit="1" customWidth="1"/>
    <col min="11021" max="11021" width="10" style="400" customWidth="1"/>
    <col min="11022" max="11022" width="11.125" style="400" bestFit="1" customWidth="1"/>
    <col min="11023" max="11023" width="14.875" style="400" bestFit="1" customWidth="1"/>
    <col min="11024" max="11265" width="9.125" style="400"/>
    <col min="11266" max="11266" width="46.75" style="400" bestFit="1" customWidth="1"/>
    <col min="11267" max="11274" width="10.25" style="400" bestFit="1" customWidth="1"/>
    <col min="11275" max="11275" width="11.875" style="400" bestFit="1" customWidth="1"/>
    <col min="11276" max="11276" width="10.25" style="400" bestFit="1" customWidth="1"/>
    <col min="11277" max="11277" width="10" style="400" customWidth="1"/>
    <col min="11278" max="11278" width="11.125" style="400" bestFit="1" customWidth="1"/>
    <col min="11279" max="11279" width="14.875" style="400" bestFit="1" customWidth="1"/>
    <col min="11280" max="11521" width="9.125" style="400"/>
    <col min="11522" max="11522" width="46.75" style="400" bestFit="1" customWidth="1"/>
    <col min="11523" max="11530" width="10.25" style="400" bestFit="1" customWidth="1"/>
    <col min="11531" max="11531" width="11.875" style="400" bestFit="1" customWidth="1"/>
    <col min="11532" max="11532" width="10.25" style="400" bestFit="1" customWidth="1"/>
    <col min="11533" max="11533" width="10" style="400" customWidth="1"/>
    <col min="11534" max="11534" width="11.125" style="400" bestFit="1" customWidth="1"/>
    <col min="11535" max="11535" width="14.875" style="400" bestFit="1" customWidth="1"/>
    <col min="11536" max="11777" width="9.125" style="400"/>
    <col min="11778" max="11778" width="46.75" style="400" bestFit="1" customWidth="1"/>
    <col min="11779" max="11786" width="10.25" style="400" bestFit="1" customWidth="1"/>
    <col min="11787" max="11787" width="11.875" style="400" bestFit="1" customWidth="1"/>
    <col min="11788" max="11788" width="10.25" style="400" bestFit="1" customWidth="1"/>
    <col min="11789" max="11789" width="10" style="400" customWidth="1"/>
    <col min="11790" max="11790" width="11.125" style="400" bestFit="1" customWidth="1"/>
    <col min="11791" max="11791" width="14.875" style="400" bestFit="1" customWidth="1"/>
    <col min="11792" max="12033" width="9.125" style="400"/>
    <col min="12034" max="12034" width="46.75" style="400" bestFit="1" customWidth="1"/>
    <col min="12035" max="12042" width="10.25" style="400" bestFit="1" customWidth="1"/>
    <col min="12043" max="12043" width="11.875" style="400" bestFit="1" customWidth="1"/>
    <col min="12044" max="12044" width="10.25" style="400" bestFit="1" customWidth="1"/>
    <col min="12045" max="12045" width="10" style="400" customWidth="1"/>
    <col min="12046" max="12046" width="11.125" style="400" bestFit="1" customWidth="1"/>
    <col min="12047" max="12047" width="14.875" style="400" bestFit="1" customWidth="1"/>
    <col min="12048" max="12289" width="9.125" style="400"/>
    <col min="12290" max="12290" width="46.75" style="400" bestFit="1" customWidth="1"/>
    <col min="12291" max="12298" width="10.25" style="400" bestFit="1" customWidth="1"/>
    <col min="12299" max="12299" width="11.875" style="400" bestFit="1" customWidth="1"/>
    <col min="12300" max="12300" width="10.25" style="400" bestFit="1" customWidth="1"/>
    <col min="12301" max="12301" width="10" style="400" customWidth="1"/>
    <col min="12302" max="12302" width="11.125" style="400" bestFit="1" customWidth="1"/>
    <col min="12303" max="12303" width="14.875" style="400" bestFit="1" customWidth="1"/>
    <col min="12304" max="12545" width="9.125" style="400"/>
    <col min="12546" max="12546" width="46.75" style="400" bestFit="1" customWidth="1"/>
    <col min="12547" max="12554" width="10.25" style="400" bestFit="1" customWidth="1"/>
    <col min="12555" max="12555" width="11.875" style="400" bestFit="1" customWidth="1"/>
    <col min="12556" max="12556" width="10.25" style="400" bestFit="1" customWidth="1"/>
    <col min="12557" max="12557" width="10" style="400" customWidth="1"/>
    <col min="12558" max="12558" width="11.125" style="400" bestFit="1" customWidth="1"/>
    <col min="12559" max="12559" width="14.875" style="400" bestFit="1" customWidth="1"/>
    <col min="12560" max="12801" width="9.125" style="400"/>
    <col min="12802" max="12802" width="46.75" style="400" bestFit="1" customWidth="1"/>
    <col min="12803" max="12810" width="10.25" style="400" bestFit="1" customWidth="1"/>
    <col min="12811" max="12811" width="11.875" style="400" bestFit="1" customWidth="1"/>
    <col min="12812" max="12812" width="10.25" style="400" bestFit="1" customWidth="1"/>
    <col min="12813" max="12813" width="10" style="400" customWidth="1"/>
    <col min="12814" max="12814" width="11.125" style="400" bestFit="1" customWidth="1"/>
    <col min="12815" max="12815" width="14.875" style="400" bestFit="1" customWidth="1"/>
    <col min="12816" max="13057" width="9.125" style="400"/>
    <col min="13058" max="13058" width="46.75" style="400" bestFit="1" customWidth="1"/>
    <col min="13059" max="13066" width="10.25" style="400" bestFit="1" customWidth="1"/>
    <col min="13067" max="13067" width="11.875" style="400" bestFit="1" customWidth="1"/>
    <col min="13068" max="13068" width="10.25" style="400" bestFit="1" customWidth="1"/>
    <col min="13069" max="13069" width="10" style="400" customWidth="1"/>
    <col min="13070" max="13070" width="11.125" style="400" bestFit="1" customWidth="1"/>
    <col min="13071" max="13071" width="14.875" style="400" bestFit="1" customWidth="1"/>
    <col min="13072" max="13313" width="9.125" style="400"/>
    <col min="13314" max="13314" width="46.75" style="400" bestFit="1" customWidth="1"/>
    <col min="13315" max="13322" width="10.25" style="400" bestFit="1" customWidth="1"/>
    <col min="13323" max="13323" width="11.875" style="400" bestFit="1" customWidth="1"/>
    <col min="13324" max="13324" width="10.25" style="400" bestFit="1" customWidth="1"/>
    <col min="13325" max="13325" width="10" style="400" customWidth="1"/>
    <col min="13326" max="13326" width="11.125" style="400" bestFit="1" customWidth="1"/>
    <col min="13327" max="13327" width="14.875" style="400" bestFit="1" customWidth="1"/>
    <col min="13328" max="13569" width="9.125" style="400"/>
    <col min="13570" max="13570" width="46.75" style="400" bestFit="1" customWidth="1"/>
    <col min="13571" max="13578" width="10.25" style="400" bestFit="1" customWidth="1"/>
    <col min="13579" max="13579" width="11.875" style="400" bestFit="1" customWidth="1"/>
    <col min="13580" max="13580" width="10.25" style="400" bestFit="1" customWidth="1"/>
    <col min="13581" max="13581" width="10" style="400" customWidth="1"/>
    <col min="13582" max="13582" width="11.125" style="400" bestFit="1" customWidth="1"/>
    <col min="13583" max="13583" width="14.875" style="400" bestFit="1" customWidth="1"/>
    <col min="13584" max="13825" width="9.125" style="400"/>
    <col min="13826" max="13826" width="46.75" style="400" bestFit="1" customWidth="1"/>
    <col min="13827" max="13834" width="10.25" style="400" bestFit="1" customWidth="1"/>
    <col min="13835" max="13835" width="11.875" style="400" bestFit="1" customWidth="1"/>
    <col min="13836" max="13836" width="10.25" style="400" bestFit="1" customWidth="1"/>
    <col min="13837" max="13837" width="10" style="400" customWidth="1"/>
    <col min="13838" max="13838" width="11.125" style="400" bestFit="1" customWidth="1"/>
    <col min="13839" max="13839" width="14.875" style="400" bestFit="1" customWidth="1"/>
    <col min="13840" max="14081" width="9.125" style="400"/>
    <col min="14082" max="14082" width="46.75" style="400" bestFit="1" customWidth="1"/>
    <col min="14083" max="14090" width="10.25" style="400" bestFit="1" customWidth="1"/>
    <col min="14091" max="14091" width="11.875" style="400" bestFit="1" customWidth="1"/>
    <col min="14092" max="14092" width="10.25" style="400" bestFit="1" customWidth="1"/>
    <col min="14093" max="14093" width="10" style="400" customWidth="1"/>
    <col min="14094" max="14094" width="11.125" style="400" bestFit="1" customWidth="1"/>
    <col min="14095" max="14095" width="14.875" style="400" bestFit="1" customWidth="1"/>
    <col min="14096" max="14337" width="9.125" style="400"/>
    <col min="14338" max="14338" width="46.75" style="400" bestFit="1" customWidth="1"/>
    <col min="14339" max="14346" width="10.25" style="400" bestFit="1" customWidth="1"/>
    <col min="14347" max="14347" width="11.875" style="400" bestFit="1" customWidth="1"/>
    <col min="14348" max="14348" width="10.25" style="400" bestFit="1" customWidth="1"/>
    <col min="14349" max="14349" width="10" style="400" customWidth="1"/>
    <col min="14350" max="14350" width="11.125" style="400" bestFit="1" customWidth="1"/>
    <col min="14351" max="14351" width="14.875" style="400" bestFit="1" customWidth="1"/>
    <col min="14352" max="14593" width="9.125" style="400"/>
    <col min="14594" max="14594" width="46.75" style="400" bestFit="1" customWidth="1"/>
    <col min="14595" max="14602" width="10.25" style="400" bestFit="1" customWidth="1"/>
    <col min="14603" max="14603" width="11.875" style="400" bestFit="1" customWidth="1"/>
    <col min="14604" max="14604" width="10.25" style="400" bestFit="1" customWidth="1"/>
    <col min="14605" max="14605" width="10" style="400" customWidth="1"/>
    <col min="14606" max="14606" width="11.125" style="400" bestFit="1" customWidth="1"/>
    <col min="14607" max="14607" width="14.875" style="400" bestFit="1" customWidth="1"/>
    <col min="14608" max="14849" width="9.125" style="400"/>
    <col min="14850" max="14850" width="46.75" style="400" bestFit="1" customWidth="1"/>
    <col min="14851" max="14858" width="10.25" style="400" bestFit="1" customWidth="1"/>
    <col min="14859" max="14859" width="11.875" style="400" bestFit="1" customWidth="1"/>
    <col min="14860" max="14860" width="10.25" style="400" bestFit="1" customWidth="1"/>
    <col min="14861" max="14861" width="10" style="400" customWidth="1"/>
    <col min="14862" max="14862" width="11.125" style="400" bestFit="1" customWidth="1"/>
    <col min="14863" max="14863" width="14.875" style="400" bestFit="1" customWidth="1"/>
    <col min="14864" max="15105" width="9.125" style="400"/>
    <col min="15106" max="15106" width="46.75" style="400" bestFit="1" customWidth="1"/>
    <col min="15107" max="15114" width="10.25" style="400" bestFit="1" customWidth="1"/>
    <col min="15115" max="15115" width="11.875" style="400" bestFit="1" customWidth="1"/>
    <col min="15116" max="15116" width="10.25" style="400" bestFit="1" customWidth="1"/>
    <col min="15117" max="15117" width="10" style="400" customWidth="1"/>
    <col min="15118" max="15118" width="11.125" style="400" bestFit="1" customWidth="1"/>
    <col min="15119" max="15119" width="14.875" style="400" bestFit="1" customWidth="1"/>
    <col min="15120" max="15361" width="9.125" style="400"/>
    <col min="15362" max="15362" width="46.75" style="400" bestFit="1" customWidth="1"/>
    <col min="15363" max="15370" width="10.25" style="400" bestFit="1" customWidth="1"/>
    <col min="15371" max="15371" width="11.875" style="400" bestFit="1" customWidth="1"/>
    <col min="15372" max="15372" width="10.25" style="400" bestFit="1" customWidth="1"/>
    <col min="15373" max="15373" width="10" style="400" customWidth="1"/>
    <col min="15374" max="15374" width="11.125" style="400" bestFit="1" customWidth="1"/>
    <col min="15375" max="15375" width="14.875" style="400" bestFit="1" customWidth="1"/>
    <col min="15376" max="15617" width="9.125" style="400"/>
    <col min="15618" max="15618" width="46.75" style="400" bestFit="1" customWidth="1"/>
    <col min="15619" max="15626" width="10.25" style="400" bestFit="1" customWidth="1"/>
    <col min="15627" max="15627" width="11.875" style="400" bestFit="1" customWidth="1"/>
    <col min="15628" max="15628" width="10.25" style="400" bestFit="1" customWidth="1"/>
    <col min="15629" max="15629" width="10" style="400" customWidth="1"/>
    <col min="15630" max="15630" width="11.125" style="400" bestFit="1" customWidth="1"/>
    <col min="15631" max="15631" width="14.875" style="400" bestFit="1" customWidth="1"/>
    <col min="15632" max="15873" width="9.125" style="400"/>
    <col min="15874" max="15874" width="46.75" style="400" bestFit="1" customWidth="1"/>
    <col min="15875" max="15882" width="10.25" style="400" bestFit="1" customWidth="1"/>
    <col min="15883" max="15883" width="11.875" style="400" bestFit="1" customWidth="1"/>
    <col min="15884" max="15884" width="10.25" style="400" bestFit="1" customWidth="1"/>
    <col min="15885" max="15885" width="10" style="400" customWidth="1"/>
    <col min="15886" max="15886" width="11.125" style="400" bestFit="1" customWidth="1"/>
    <col min="15887" max="15887" width="14.875" style="400" bestFit="1" customWidth="1"/>
    <col min="15888" max="16129" width="9.125" style="400"/>
    <col min="16130" max="16130" width="46.75" style="400" bestFit="1" customWidth="1"/>
    <col min="16131" max="16138" width="10.25" style="400" bestFit="1" customWidth="1"/>
    <col min="16139" max="16139" width="11.875" style="400" bestFit="1" customWidth="1"/>
    <col min="16140" max="16140" width="10.25" style="400" bestFit="1" customWidth="1"/>
    <col min="16141" max="16141" width="10" style="400" customWidth="1"/>
    <col min="16142" max="16142" width="11.125" style="400" bestFit="1" customWidth="1"/>
    <col min="16143" max="16143" width="14.875" style="400" bestFit="1" customWidth="1"/>
    <col min="16144" max="16384" width="9.125" style="400"/>
  </cols>
  <sheetData>
    <row r="1" spans="2:15" x14ac:dyDescent="0.35">
      <c r="B1" s="399"/>
      <c r="C1" s="399"/>
    </row>
    <row r="2" spans="2:15" x14ac:dyDescent="0.35">
      <c r="B2" s="401" t="s">
        <v>196</v>
      </c>
      <c r="C2" s="401"/>
    </row>
    <row r="3" spans="2:15" x14ac:dyDescent="0.35">
      <c r="B3" s="402"/>
      <c r="C3" s="290"/>
      <c r="D3" s="403"/>
    </row>
    <row r="4" spans="2:15" x14ac:dyDescent="0.35">
      <c r="B4" s="404" t="s">
        <v>7</v>
      </c>
      <c r="C4" s="405" t="s">
        <v>8</v>
      </c>
      <c r="D4" s="405"/>
    </row>
    <row r="5" spans="2:15" x14ac:dyDescent="0.35">
      <c r="B5" s="406" t="str">
        <f>IF(ISBLANK(Directions!C6), "Owner", Directions!C6)</f>
        <v>Owner</v>
      </c>
      <c r="C5" s="407" t="str">
        <f>IF(ISBLANK(Directions!D6), "Company 1", Directions!D6)</f>
        <v>Company 1</v>
      </c>
      <c r="D5" s="407"/>
    </row>
    <row r="6" spans="2:15" x14ac:dyDescent="0.35">
      <c r="B6" s="406"/>
      <c r="C6" s="406"/>
    </row>
    <row r="7" spans="2:15" ht="16.5" thickBot="1" x14ac:dyDescent="0.4">
      <c r="B7" s="129"/>
      <c r="C7" s="129" t="str">
        <f>'2a-PayrollYear1'!F7</f>
        <v>Month 1</v>
      </c>
      <c r="D7" s="129" t="str">
        <f>'2a-PayrollYear1'!G7</f>
        <v>Month 2</v>
      </c>
      <c r="E7" s="129" t="str">
        <f>'2a-PayrollYear1'!H7</f>
        <v>Month 3</v>
      </c>
      <c r="F7" s="129" t="str">
        <f>'2a-PayrollYear1'!I7</f>
        <v>Month 4</v>
      </c>
      <c r="G7" s="129" t="str">
        <f>'2a-PayrollYear1'!J7</f>
        <v>Month 5</v>
      </c>
      <c r="H7" s="129" t="str">
        <f>'2a-PayrollYear1'!K7</f>
        <v>Month 6</v>
      </c>
      <c r="I7" s="129" t="str">
        <f>'2a-PayrollYear1'!L7</f>
        <v>Month 7</v>
      </c>
      <c r="J7" s="129" t="str">
        <f>'2a-PayrollYear1'!M7</f>
        <v>Month 8</v>
      </c>
      <c r="K7" s="129" t="str">
        <f>'2a-PayrollYear1'!N7</f>
        <v>Month 9</v>
      </c>
      <c r="L7" s="129" t="str">
        <f>'2a-PayrollYear1'!O7</f>
        <v>Month 10</v>
      </c>
      <c r="M7" s="129" t="str">
        <f>'2a-PayrollYear1'!P7</f>
        <v>Month 11</v>
      </c>
      <c r="N7" s="129" t="str">
        <f>'2a-PayrollYear1'!Q7</f>
        <v>Month 12</v>
      </c>
      <c r="O7" s="129" t="str">
        <f>'2a-PayrollYear1'!R7</f>
        <v>Annual Totals</v>
      </c>
    </row>
    <row r="8" spans="2:15" ht="16.5" thickTop="1" x14ac:dyDescent="0.35">
      <c r="B8" s="381" t="s">
        <v>197</v>
      </c>
      <c r="C8" s="131"/>
      <c r="D8" s="131"/>
      <c r="E8" s="131"/>
      <c r="F8" s="131"/>
      <c r="G8" s="131"/>
      <c r="H8" s="131"/>
      <c r="I8" s="131"/>
      <c r="J8" s="131"/>
      <c r="K8" s="131"/>
      <c r="L8" s="131"/>
      <c r="M8" s="131"/>
      <c r="N8" s="131"/>
      <c r="O8" s="131"/>
    </row>
    <row r="9" spans="2:15" x14ac:dyDescent="0.35">
      <c r="B9" s="408" t="str">
        <f>'3a-SalesForecastYear1'!B17</f>
        <v>Product 1</v>
      </c>
      <c r="C9" s="409">
        <f>'3a-SalesForecastYear1'!C19</f>
        <v>0</v>
      </c>
      <c r="D9" s="409">
        <f>'3a-SalesForecastYear1'!D19</f>
        <v>0</v>
      </c>
      <c r="E9" s="409">
        <f>'3a-SalesForecastYear1'!E19</f>
        <v>0</v>
      </c>
      <c r="F9" s="409">
        <f>'3a-SalesForecastYear1'!F19</f>
        <v>0</v>
      </c>
      <c r="G9" s="409">
        <f>'3a-SalesForecastYear1'!G19</f>
        <v>0</v>
      </c>
      <c r="H9" s="409">
        <f>'3a-SalesForecastYear1'!H19</f>
        <v>0</v>
      </c>
      <c r="I9" s="409">
        <f>'3a-SalesForecastYear1'!I19</f>
        <v>0</v>
      </c>
      <c r="J9" s="409">
        <f>'3a-SalesForecastYear1'!J19</f>
        <v>0</v>
      </c>
      <c r="K9" s="409">
        <f>'3a-SalesForecastYear1'!K19</f>
        <v>0</v>
      </c>
      <c r="L9" s="409">
        <f>'3a-SalesForecastYear1'!L19</f>
        <v>0</v>
      </c>
      <c r="M9" s="409">
        <f>'3a-SalesForecastYear1'!M19</f>
        <v>0</v>
      </c>
      <c r="N9" s="409">
        <f>'3a-SalesForecastYear1'!N19</f>
        <v>0</v>
      </c>
      <c r="O9" s="165">
        <f>SUM(C9:N9)</f>
        <v>0</v>
      </c>
    </row>
    <row r="10" spans="2:15" x14ac:dyDescent="0.35">
      <c r="B10" s="410" t="str">
        <f>'3a-SalesForecastYear1'!B23</f>
        <v>Product 2</v>
      </c>
      <c r="C10" s="409">
        <f>'3a-SalesForecastYear1'!C25</f>
        <v>0</v>
      </c>
      <c r="D10" s="409">
        <f>'3a-SalesForecastYear1'!D25</f>
        <v>0</v>
      </c>
      <c r="E10" s="409">
        <f>'3a-SalesForecastYear1'!E25</f>
        <v>0</v>
      </c>
      <c r="F10" s="409">
        <f>'3a-SalesForecastYear1'!F25</f>
        <v>0</v>
      </c>
      <c r="G10" s="409">
        <f>'3a-SalesForecastYear1'!G25</f>
        <v>0</v>
      </c>
      <c r="H10" s="409">
        <f>'3a-SalesForecastYear1'!H25</f>
        <v>0</v>
      </c>
      <c r="I10" s="409">
        <f>'3a-SalesForecastYear1'!I25</f>
        <v>0</v>
      </c>
      <c r="J10" s="409">
        <f>'3a-SalesForecastYear1'!J25</f>
        <v>0</v>
      </c>
      <c r="K10" s="409">
        <f>'3a-SalesForecastYear1'!K25</f>
        <v>0</v>
      </c>
      <c r="L10" s="409">
        <f>'3a-SalesForecastYear1'!L25</f>
        <v>0</v>
      </c>
      <c r="M10" s="409">
        <f>'3a-SalesForecastYear1'!M25</f>
        <v>0</v>
      </c>
      <c r="N10" s="409">
        <f>'3a-SalesForecastYear1'!N25</f>
        <v>0</v>
      </c>
      <c r="O10" s="165">
        <f t="shared" ref="O10:O15" si="0">SUM(C10:N10)</f>
        <v>0</v>
      </c>
    </row>
    <row r="11" spans="2:15" x14ac:dyDescent="0.35">
      <c r="B11" s="411" t="str">
        <f>'3a-SalesForecastYear1'!B29</f>
        <v>Product 3</v>
      </c>
      <c r="C11" s="409">
        <f>'3a-SalesForecastYear1'!C31</f>
        <v>0</v>
      </c>
      <c r="D11" s="409">
        <f>'3a-SalesForecastYear1'!D31</f>
        <v>0</v>
      </c>
      <c r="E11" s="409">
        <f>'3a-SalesForecastYear1'!E31</f>
        <v>0</v>
      </c>
      <c r="F11" s="409">
        <f>'3a-SalesForecastYear1'!F31</f>
        <v>0</v>
      </c>
      <c r="G11" s="409">
        <f>'3a-SalesForecastYear1'!G31</f>
        <v>0</v>
      </c>
      <c r="H11" s="409">
        <f>'3a-SalesForecastYear1'!H31</f>
        <v>0</v>
      </c>
      <c r="I11" s="409">
        <f>'3a-SalesForecastYear1'!I31</f>
        <v>0</v>
      </c>
      <c r="J11" s="409">
        <f>'3a-SalesForecastYear1'!J31</f>
        <v>0</v>
      </c>
      <c r="K11" s="409">
        <f>'3a-SalesForecastYear1'!K31</f>
        <v>0</v>
      </c>
      <c r="L11" s="409">
        <f>'3a-SalesForecastYear1'!L31</f>
        <v>0</v>
      </c>
      <c r="M11" s="409">
        <f>'3a-SalesForecastYear1'!M31</f>
        <v>0</v>
      </c>
      <c r="N11" s="409">
        <f>'3a-SalesForecastYear1'!N31</f>
        <v>0</v>
      </c>
      <c r="O11" s="165">
        <f t="shared" si="0"/>
        <v>0</v>
      </c>
    </row>
    <row r="12" spans="2:15" x14ac:dyDescent="0.35">
      <c r="B12" s="411" t="str">
        <f>'3a-SalesForecastYear1'!B35</f>
        <v>Product 4</v>
      </c>
      <c r="C12" s="409">
        <f>'3a-SalesForecastYear1'!C37</f>
        <v>0</v>
      </c>
      <c r="D12" s="409">
        <f>'3a-SalesForecastYear1'!D37</f>
        <v>0</v>
      </c>
      <c r="E12" s="409">
        <f>'3a-SalesForecastYear1'!E37</f>
        <v>0</v>
      </c>
      <c r="F12" s="409">
        <f>'3a-SalesForecastYear1'!F37</f>
        <v>0</v>
      </c>
      <c r="G12" s="409">
        <f>'3a-SalesForecastYear1'!G37</f>
        <v>0</v>
      </c>
      <c r="H12" s="409">
        <f>'3a-SalesForecastYear1'!H37</f>
        <v>0</v>
      </c>
      <c r="I12" s="409">
        <f>'3a-SalesForecastYear1'!I37</f>
        <v>0</v>
      </c>
      <c r="J12" s="409">
        <f>'3a-SalesForecastYear1'!J37</f>
        <v>0</v>
      </c>
      <c r="K12" s="409">
        <f>'3a-SalesForecastYear1'!K37</f>
        <v>0</v>
      </c>
      <c r="L12" s="409">
        <f>'3a-SalesForecastYear1'!L37</f>
        <v>0</v>
      </c>
      <c r="M12" s="409">
        <f>'3a-SalesForecastYear1'!M37</f>
        <v>0</v>
      </c>
      <c r="N12" s="409">
        <f>'3a-SalesForecastYear1'!N37</f>
        <v>0</v>
      </c>
      <c r="O12" s="165">
        <f t="shared" si="0"/>
        <v>0</v>
      </c>
    </row>
    <row r="13" spans="2:15" x14ac:dyDescent="0.35">
      <c r="B13" s="411" t="str">
        <f>'3a-SalesForecastYear1'!B41</f>
        <v>Product 5</v>
      </c>
      <c r="C13" s="409">
        <f>'3a-SalesForecastYear1'!C43</f>
        <v>0</v>
      </c>
      <c r="D13" s="409">
        <f>'3a-SalesForecastYear1'!D43</f>
        <v>0</v>
      </c>
      <c r="E13" s="409">
        <f>'3a-SalesForecastYear1'!E43</f>
        <v>0</v>
      </c>
      <c r="F13" s="409">
        <f>'3a-SalesForecastYear1'!F43</f>
        <v>0</v>
      </c>
      <c r="G13" s="409">
        <f>'3a-SalesForecastYear1'!G43</f>
        <v>0</v>
      </c>
      <c r="H13" s="409">
        <f>'3a-SalesForecastYear1'!H43</f>
        <v>0</v>
      </c>
      <c r="I13" s="409">
        <f>'3a-SalesForecastYear1'!I43</f>
        <v>0</v>
      </c>
      <c r="J13" s="409">
        <f>'3a-SalesForecastYear1'!J43</f>
        <v>0</v>
      </c>
      <c r="K13" s="409">
        <f>'3a-SalesForecastYear1'!K43</f>
        <v>0</v>
      </c>
      <c r="L13" s="409">
        <f>'3a-SalesForecastYear1'!L43</f>
        <v>0</v>
      </c>
      <c r="M13" s="409">
        <f>'3a-SalesForecastYear1'!M43</f>
        <v>0</v>
      </c>
      <c r="N13" s="409">
        <f>'3a-SalesForecastYear1'!N43</f>
        <v>0</v>
      </c>
      <c r="O13" s="165">
        <f t="shared" si="0"/>
        <v>0</v>
      </c>
    </row>
    <row r="14" spans="2:15" x14ac:dyDescent="0.35">
      <c r="B14" s="411" t="str">
        <f>'3a-SalesForecastYear1'!B47</f>
        <v>Product 6</v>
      </c>
      <c r="C14" s="409">
        <f>'3a-SalesForecastYear1'!C49</f>
        <v>0</v>
      </c>
      <c r="D14" s="409">
        <f>'3a-SalesForecastYear1'!D49</f>
        <v>0</v>
      </c>
      <c r="E14" s="409">
        <f>'3a-SalesForecastYear1'!E49</f>
        <v>0</v>
      </c>
      <c r="F14" s="409">
        <f>'3a-SalesForecastYear1'!F49</f>
        <v>0</v>
      </c>
      <c r="G14" s="409">
        <f>'3a-SalesForecastYear1'!G49</f>
        <v>0</v>
      </c>
      <c r="H14" s="409">
        <f>'3a-SalesForecastYear1'!H49</f>
        <v>0</v>
      </c>
      <c r="I14" s="409">
        <f>'3a-SalesForecastYear1'!I49</f>
        <v>0</v>
      </c>
      <c r="J14" s="409">
        <f>'3a-SalesForecastYear1'!J49</f>
        <v>0</v>
      </c>
      <c r="K14" s="409">
        <f>'3a-SalesForecastYear1'!K49</f>
        <v>0</v>
      </c>
      <c r="L14" s="409">
        <f>'3a-SalesForecastYear1'!L49</f>
        <v>0</v>
      </c>
      <c r="M14" s="409">
        <f>'3a-SalesForecastYear1'!M49</f>
        <v>0</v>
      </c>
      <c r="N14" s="409">
        <f>'3a-SalesForecastYear1'!N49</f>
        <v>0</v>
      </c>
      <c r="O14" s="165">
        <f t="shared" si="0"/>
        <v>0</v>
      </c>
    </row>
    <row r="15" spans="2:15" x14ac:dyDescent="0.35">
      <c r="B15" s="384" t="s">
        <v>198</v>
      </c>
      <c r="C15" s="412">
        <f>SUM(C9:C14)</f>
        <v>0</v>
      </c>
      <c r="D15" s="412">
        <f t="shared" ref="D15:N15" si="1">SUM(D9:D14)</f>
        <v>0</v>
      </c>
      <c r="E15" s="412">
        <f t="shared" si="1"/>
        <v>0</v>
      </c>
      <c r="F15" s="412">
        <f t="shared" si="1"/>
        <v>0</v>
      </c>
      <c r="G15" s="412">
        <f t="shared" si="1"/>
        <v>0</v>
      </c>
      <c r="H15" s="412">
        <f t="shared" si="1"/>
        <v>0</v>
      </c>
      <c r="I15" s="412">
        <f t="shared" si="1"/>
        <v>0</v>
      </c>
      <c r="J15" s="412">
        <f t="shared" si="1"/>
        <v>0</v>
      </c>
      <c r="K15" s="412">
        <f t="shared" si="1"/>
        <v>0</v>
      </c>
      <c r="L15" s="412">
        <f t="shared" si="1"/>
        <v>0</v>
      </c>
      <c r="M15" s="412">
        <f t="shared" si="1"/>
        <v>0</v>
      </c>
      <c r="N15" s="412">
        <f t="shared" si="1"/>
        <v>0</v>
      </c>
      <c r="O15" s="165">
        <f t="shared" si="0"/>
        <v>0</v>
      </c>
    </row>
    <row r="16" spans="2:15" x14ac:dyDescent="0.35">
      <c r="B16" s="384" t="s">
        <v>178</v>
      </c>
      <c r="C16" s="138"/>
      <c r="D16" s="138"/>
      <c r="E16" s="138"/>
      <c r="F16" s="138"/>
      <c r="G16" s="138"/>
      <c r="H16" s="138"/>
      <c r="I16" s="138"/>
      <c r="J16" s="138"/>
      <c r="K16" s="138"/>
      <c r="L16" s="138"/>
      <c r="M16" s="138"/>
      <c r="N16" s="138"/>
      <c r="O16" s="165"/>
    </row>
    <row r="17" spans="2:15" x14ac:dyDescent="0.35">
      <c r="B17" s="408" t="str">
        <f>'3a-SalesForecastYear1'!B17</f>
        <v>Product 1</v>
      </c>
      <c r="C17" s="409">
        <f>'3a-SalesForecastYear1'!C20</f>
        <v>0</v>
      </c>
      <c r="D17" s="409">
        <f>'3a-SalesForecastYear1'!D20</f>
        <v>0</v>
      </c>
      <c r="E17" s="409">
        <f>'3a-SalesForecastYear1'!E20</f>
        <v>0</v>
      </c>
      <c r="F17" s="409">
        <f>'3a-SalesForecastYear1'!F20</f>
        <v>0</v>
      </c>
      <c r="G17" s="409">
        <f>'3a-SalesForecastYear1'!G20</f>
        <v>0</v>
      </c>
      <c r="H17" s="409">
        <f>'3a-SalesForecastYear1'!H20</f>
        <v>0</v>
      </c>
      <c r="I17" s="409">
        <f>'3a-SalesForecastYear1'!I20</f>
        <v>0</v>
      </c>
      <c r="J17" s="409">
        <f>'3a-SalesForecastYear1'!J20</f>
        <v>0</v>
      </c>
      <c r="K17" s="409">
        <f>'3a-SalesForecastYear1'!K20</f>
        <v>0</v>
      </c>
      <c r="L17" s="409">
        <f>'3a-SalesForecastYear1'!L20</f>
        <v>0</v>
      </c>
      <c r="M17" s="409">
        <f>'3a-SalesForecastYear1'!M20</f>
        <v>0</v>
      </c>
      <c r="N17" s="409">
        <f>'3a-SalesForecastYear1'!N20</f>
        <v>0</v>
      </c>
      <c r="O17" s="165">
        <f>SUM(C17:N17)</f>
        <v>0</v>
      </c>
    </row>
    <row r="18" spans="2:15" x14ac:dyDescent="0.35">
      <c r="B18" s="410" t="str">
        <f>'3a-SalesForecastYear1'!B23</f>
        <v>Product 2</v>
      </c>
      <c r="C18" s="409">
        <f>'3a-SalesForecastYear1'!C26</f>
        <v>0</v>
      </c>
      <c r="D18" s="409">
        <f>'3a-SalesForecastYear1'!D26</f>
        <v>0</v>
      </c>
      <c r="E18" s="409">
        <f>'3a-SalesForecastYear1'!E26</f>
        <v>0</v>
      </c>
      <c r="F18" s="409">
        <f>'3a-SalesForecastYear1'!F26</f>
        <v>0</v>
      </c>
      <c r="G18" s="409">
        <f>'3a-SalesForecastYear1'!G26</f>
        <v>0</v>
      </c>
      <c r="H18" s="409">
        <f>'3a-SalesForecastYear1'!H26</f>
        <v>0</v>
      </c>
      <c r="I18" s="409">
        <f>'3a-SalesForecastYear1'!I26</f>
        <v>0</v>
      </c>
      <c r="J18" s="409">
        <f>'3a-SalesForecastYear1'!J26</f>
        <v>0</v>
      </c>
      <c r="K18" s="409">
        <f>'3a-SalesForecastYear1'!K26</f>
        <v>0</v>
      </c>
      <c r="L18" s="409">
        <f>'3a-SalesForecastYear1'!L26</f>
        <v>0</v>
      </c>
      <c r="M18" s="409">
        <f>'3a-SalesForecastYear1'!M26</f>
        <v>0</v>
      </c>
      <c r="N18" s="409">
        <f>'3a-SalesForecastYear1'!N26</f>
        <v>0</v>
      </c>
      <c r="O18" s="165">
        <f t="shared" ref="O18:O25" si="2">SUM(C18:N18)</f>
        <v>0</v>
      </c>
    </row>
    <row r="19" spans="2:15" x14ac:dyDescent="0.35">
      <c r="B19" s="411" t="str">
        <f>'3a-SalesForecastYear1'!B29</f>
        <v>Product 3</v>
      </c>
      <c r="C19" s="409">
        <f>'3a-SalesForecastYear1'!C32</f>
        <v>0</v>
      </c>
      <c r="D19" s="409">
        <f>'3a-SalesForecastYear1'!D32</f>
        <v>0</v>
      </c>
      <c r="E19" s="409">
        <f>'3a-SalesForecastYear1'!E32</f>
        <v>0</v>
      </c>
      <c r="F19" s="409">
        <f>'3a-SalesForecastYear1'!F32</f>
        <v>0</v>
      </c>
      <c r="G19" s="409">
        <f>'3a-SalesForecastYear1'!G32</f>
        <v>0</v>
      </c>
      <c r="H19" s="409">
        <f>'3a-SalesForecastYear1'!H32</f>
        <v>0</v>
      </c>
      <c r="I19" s="409">
        <f>'3a-SalesForecastYear1'!I32</f>
        <v>0</v>
      </c>
      <c r="J19" s="409">
        <f>'3a-SalesForecastYear1'!J32</f>
        <v>0</v>
      </c>
      <c r="K19" s="409">
        <f>'3a-SalesForecastYear1'!K32</f>
        <v>0</v>
      </c>
      <c r="L19" s="409">
        <f>'3a-SalesForecastYear1'!L32</f>
        <v>0</v>
      </c>
      <c r="M19" s="409">
        <f>'3a-SalesForecastYear1'!M32</f>
        <v>0</v>
      </c>
      <c r="N19" s="409">
        <f>'3a-SalesForecastYear1'!N32</f>
        <v>0</v>
      </c>
      <c r="O19" s="165">
        <f t="shared" si="2"/>
        <v>0</v>
      </c>
    </row>
    <row r="20" spans="2:15" x14ac:dyDescent="0.35">
      <c r="B20" s="411" t="str">
        <f>'3a-SalesForecastYear1'!B35</f>
        <v>Product 4</v>
      </c>
      <c r="C20" s="409">
        <f>'3a-SalesForecastYear1'!C38</f>
        <v>0</v>
      </c>
      <c r="D20" s="409">
        <f>'3a-SalesForecastYear1'!D38</f>
        <v>0</v>
      </c>
      <c r="E20" s="409">
        <f>'3a-SalesForecastYear1'!E38</f>
        <v>0</v>
      </c>
      <c r="F20" s="409">
        <f>'3a-SalesForecastYear1'!F38</f>
        <v>0</v>
      </c>
      <c r="G20" s="409">
        <f>'3a-SalesForecastYear1'!G38</f>
        <v>0</v>
      </c>
      <c r="H20" s="409">
        <f>'3a-SalesForecastYear1'!H38</f>
        <v>0</v>
      </c>
      <c r="I20" s="409">
        <f>'3a-SalesForecastYear1'!I38</f>
        <v>0</v>
      </c>
      <c r="J20" s="409">
        <f>'3a-SalesForecastYear1'!J38</f>
        <v>0</v>
      </c>
      <c r="K20" s="409">
        <f>'3a-SalesForecastYear1'!K38</f>
        <v>0</v>
      </c>
      <c r="L20" s="409">
        <f>'3a-SalesForecastYear1'!L38</f>
        <v>0</v>
      </c>
      <c r="M20" s="409">
        <f>'3a-SalesForecastYear1'!M38</f>
        <v>0</v>
      </c>
      <c r="N20" s="409">
        <f>'3a-SalesForecastYear1'!N38</f>
        <v>0</v>
      </c>
      <c r="O20" s="165">
        <f t="shared" si="2"/>
        <v>0</v>
      </c>
    </row>
    <row r="21" spans="2:15" x14ac:dyDescent="0.35">
      <c r="B21" s="411" t="str">
        <f>'3a-SalesForecastYear1'!B41</f>
        <v>Product 5</v>
      </c>
      <c r="C21" s="409">
        <f>'3a-SalesForecastYear1'!C44</f>
        <v>0</v>
      </c>
      <c r="D21" s="409">
        <f>'3a-SalesForecastYear1'!D44</f>
        <v>0</v>
      </c>
      <c r="E21" s="409">
        <f>'3a-SalesForecastYear1'!E44</f>
        <v>0</v>
      </c>
      <c r="F21" s="409">
        <f>'3a-SalesForecastYear1'!F44</f>
        <v>0</v>
      </c>
      <c r="G21" s="409">
        <f>'3a-SalesForecastYear1'!G44</f>
        <v>0</v>
      </c>
      <c r="H21" s="409">
        <f>'3a-SalesForecastYear1'!H44</f>
        <v>0</v>
      </c>
      <c r="I21" s="409">
        <f>'3a-SalesForecastYear1'!I44</f>
        <v>0</v>
      </c>
      <c r="J21" s="409">
        <f>'3a-SalesForecastYear1'!J44</f>
        <v>0</v>
      </c>
      <c r="K21" s="409">
        <f>'3a-SalesForecastYear1'!K44</f>
        <v>0</v>
      </c>
      <c r="L21" s="409">
        <f>'3a-SalesForecastYear1'!L44</f>
        <v>0</v>
      </c>
      <c r="M21" s="409">
        <f>'3a-SalesForecastYear1'!M44</f>
        <v>0</v>
      </c>
      <c r="N21" s="409">
        <f>'3a-SalesForecastYear1'!N44</f>
        <v>0</v>
      </c>
      <c r="O21" s="165">
        <f t="shared" si="2"/>
        <v>0</v>
      </c>
    </row>
    <row r="22" spans="2:15" x14ac:dyDescent="0.35">
      <c r="B22" s="411" t="str">
        <f>'3a-SalesForecastYear1'!B47</f>
        <v>Product 6</v>
      </c>
      <c r="C22" s="409">
        <f>'3a-SalesForecastYear1'!C50</f>
        <v>0</v>
      </c>
      <c r="D22" s="409">
        <f>'3a-SalesForecastYear1'!D50</f>
        <v>0</v>
      </c>
      <c r="E22" s="409">
        <f>'3a-SalesForecastYear1'!E50</f>
        <v>0</v>
      </c>
      <c r="F22" s="409">
        <f>'3a-SalesForecastYear1'!F50</f>
        <v>0</v>
      </c>
      <c r="G22" s="409">
        <f>'3a-SalesForecastYear1'!G50</f>
        <v>0</v>
      </c>
      <c r="H22" s="409">
        <f>'3a-SalesForecastYear1'!H50</f>
        <v>0</v>
      </c>
      <c r="I22" s="409">
        <f>'3a-SalesForecastYear1'!I50</f>
        <v>0</v>
      </c>
      <c r="J22" s="409">
        <f>'3a-SalesForecastYear1'!J50</f>
        <v>0</v>
      </c>
      <c r="K22" s="409">
        <f>'3a-SalesForecastYear1'!K50</f>
        <v>0</v>
      </c>
      <c r="L22" s="409">
        <f>'3a-SalesForecastYear1'!L50</f>
        <v>0</v>
      </c>
      <c r="M22" s="409">
        <f>'3a-SalesForecastYear1'!M50</f>
        <v>0</v>
      </c>
      <c r="N22" s="409">
        <f>'3a-SalesForecastYear1'!N50</f>
        <v>0</v>
      </c>
      <c r="O22" s="165">
        <f t="shared" si="2"/>
        <v>0</v>
      </c>
    </row>
    <row r="23" spans="2:15" x14ac:dyDescent="0.35">
      <c r="B23" s="413" t="s">
        <v>107</v>
      </c>
      <c r="C23" s="412">
        <f>SUM(C17:C22)</f>
        <v>0</v>
      </c>
      <c r="D23" s="412">
        <f t="shared" ref="D23:N23" si="3">SUM(D17:D22)</f>
        <v>0</v>
      </c>
      <c r="E23" s="412">
        <f t="shared" si="3"/>
        <v>0</v>
      </c>
      <c r="F23" s="412">
        <f t="shared" si="3"/>
        <v>0</v>
      </c>
      <c r="G23" s="412">
        <f t="shared" si="3"/>
        <v>0</v>
      </c>
      <c r="H23" s="412">
        <f t="shared" si="3"/>
        <v>0</v>
      </c>
      <c r="I23" s="412">
        <f t="shared" si="3"/>
        <v>0</v>
      </c>
      <c r="J23" s="412">
        <f t="shared" si="3"/>
        <v>0</v>
      </c>
      <c r="K23" s="412">
        <f t="shared" si="3"/>
        <v>0</v>
      </c>
      <c r="L23" s="412">
        <f t="shared" si="3"/>
        <v>0</v>
      </c>
      <c r="M23" s="412">
        <f t="shared" si="3"/>
        <v>0</v>
      </c>
      <c r="N23" s="412">
        <f t="shared" si="3"/>
        <v>0</v>
      </c>
      <c r="O23" s="165">
        <f t="shared" si="2"/>
        <v>0</v>
      </c>
    </row>
    <row r="24" spans="2:15" x14ac:dyDescent="0.35">
      <c r="B24" s="384" t="s">
        <v>199</v>
      </c>
      <c r="C24" s="412">
        <f t="shared" ref="C24:N24" si="4">C15-C23</f>
        <v>0</v>
      </c>
      <c r="D24" s="412">
        <f t="shared" si="4"/>
        <v>0</v>
      </c>
      <c r="E24" s="412">
        <f t="shared" si="4"/>
        <v>0</v>
      </c>
      <c r="F24" s="412">
        <f t="shared" si="4"/>
        <v>0</v>
      </c>
      <c r="G24" s="412">
        <f t="shared" si="4"/>
        <v>0</v>
      </c>
      <c r="H24" s="412">
        <f t="shared" si="4"/>
        <v>0</v>
      </c>
      <c r="I24" s="412">
        <f t="shared" si="4"/>
        <v>0</v>
      </c>
      <c r="J24" s="412">
        <f t="shared" si="4"/>
        <v>0</v>
      </c>
      <c r="K24" s="412">
        <f t="shared" si="4"/>
        <v>0</v>
      </c>
      <c r="L24" s="412">
        <f t="shared" si="4"/>
        <v>0</v>
      </c>
      <c r="M24" s="412">
        <f t="shared" si="4"/>
        <v>0</v>
      </c>
      <c r="N24" s="412">
        <f t="shared" si="4"/>
        <v>0</v>
      </c>
      <c r="O24" s="165">
        <f t="shared" si="2"/>
        <v>0</v>
      </c>
    </row>
    <row r="25" spans="2:15" x14ac:dyDescent="0.35">
      <c r="B25" s="384" t="s">
        <v>181</v>
      </c>
      <c r="C25" s="412">
        <f>'2a-PayrollYear1'!F25</f>
        <v>0</v>
      </c>
      <c r="D25" s="412">
        <f>'2a-PayrollYear1'!G25</f>
        <v>0</v>
      </c>
      <c r="E25" s="412">
        <f>'2a-PayrollYear1'!H25</f>
        <v>0</v>
      </c>
      <c r="F25" s="412">
        <f>'2a-PayrollYear1'!I25</f>
        <v>0</v>
      </c>
      <c r="G25" s="412">
        <f>'2a-PayrollYear1'!J25</f>
        <v>0</v>
      </c>
      <c r="H25" s="412">
        <f>'2a-PayrollYear1'!K25</f>
        <v>0</v>
      </c>
      <c r="I25" s="412">
        <f>'2a-PayrollYear1'!L25</f>
        <v>0</v>
      </c>
      <c r="J25" s="412">
        <f>'2a-PayrollYear1'!M25</f>
        <v>0</v>
      </c>
      <c r="K25" s="412">
        <f>'2a-PayrollYear1'!N25</f>
        <v>0</v>
      </c>
      <c r="L25" s="412">
        <f>'2a-PayrollYear1'!O25</f>
        <v>0</v>
      </c>
      <c r="M25" s="412">
        <f>'2a-PayrollYear1'!P25</f>
        <v>0</v>
      </c>
      <c r="N25" s="412">
        <f>'2a-PayrollYear1'!Q25</f>
        <v>0</v>
      </c>
      <c r="O25" s="165">
        <f t="shared" si="2"/>
        <v>0</v>
      </c>
    </row>
    <row r="26" spans="2:15" x14ac:dyDescent="0.35">
      <c r="B26" s="384" t="s">
        <v>180</v>
      </c>
      <c r="C26" s="138"/>
      <c r="D26" s="138"/>
      <c r="E26" s="138"/>
      <c r="F26" s="138"/>
      <c r="G26" s="138"/>
      <c r="H26" s="138"/>
      <c r="I26" s="138"/>
      <c r="J26" s="138"/>
      <c r="K26" s="138"/>
      <c r="L26" s="138"/>
      <c r="M26" s="138"/>
      <c r="N26" s="138"/>
      <c r="O26" s="165"/>
    </row>
    <row r="27" spans="2:15" x14ac:dyDescent="0.35">
      <c r="B27" s="414" t="str">
        <f>'5a-OpExYear1'!B10</f>
        <v>Advertising</v>
      </c>
      <c r="C27" s="409">
        <f>'5a-OpExYear1'!C10</f>
        <v>0</v>
      </c>
      <c r="D27" s="409">
        <f>'5a-OpExYear1'!D10</f>
        <v>0</v>
      </c>
      <c r="E27" s="409">
        <f>'5a-OpExYear1'!E10</f>
        <v>0</v>
      </c>
      <c r="F27" s="409">
        <f>'5a-OpExYear1'!F10</f>
        <v>0</v>
      </c>
      <c r="G27" s="409">
        <f>'5a-OpExYear1'!G10</f>
        <v>0</v>
      </c>
      <c r="H27" s="409">
        <f>'5a-OpExYear1'!H10</f>
        <v>0</v>
      </c>
      <c r="I27" s="409">
        <f>'5a-OpExYear1'!I10</f>
        <v>0</v>
      </c>
      <c r="J27" s="409">
        <f>'5a-OpExYear1'!J10</f>
        <v>0</v>
      </c>
      <c r="K27" s="409">
        <f>'5a-OpExYear1'!K10</f>
        <v>0</v>
      </c>
      <c r="L27" s="409">
        <f>'5a-OpExYear1'!L10</f>
        <v>0</v>
      </c>
      <c r="M27" s="409">
        <f>'5a-OpExYear1'!M10</f>
        <v>0</v>
      </c>
      <c r="N27" s="409">
        <f>'5a-OpExYear1'!N10</f>
        <v>0</v>
      </c>
      <c r="O27" s="165">
        <f>SUM(C27:N27)</f>
        <v>0</v>
      </c>
    </row>
    <row r="28" spans="2:15" x14ac:dyDescent="0.35">
      <c r="B28" s="414" t="str">
        <f>'5a-OpExYear1'!B11</f>
        <v>Car and Truck Expenses</v>
      </c>
      <c r="C28" s="409">
        <f>'5a-OpExYear1'!C11</f>
        <v>0</v>
      </c>
      <c r="D28" s="409">
        <f>'5a-OpExYear1'!D11</f>
        <v>0</v>
      </c>
      <c r="E28" s="409">
        <f>'5a-OpExYear1'!E11</f>
        <v>0</v>
      </c>
      <c r="F28" s="409">
        <f>'5a-OpExYear1'!F11</f>
        <v>0</v>
      </c>
      <c r="G28" s="409">
        <f>'5a-OpExYear1'!G11</f>
        <v>0</v>
      </c>
      <c r="H28" s="409">
        <f>'5a-OpExYear1'!H11</f>
        <v>0</v>
      </c>
      <c r="I28" s="409">
        <f>'5a-OpExYear1'!I11</f>
        <v>0</v>
      </c>
      <c r="J28" s="409">
        <f>'5a-OpExYear1'!J11</f>
        <v>0</v>
      </c>
      <c r="K28" s="409">
        <f>'5a-OpExYear1'!K11</f>
        <v>0</v>
      </c>
      <c r="L28" s="409">
        <f>'5a-OpExYear1'!L11</f>
        <v>0</v>
      </c>
      <c r="M28" s="409">
        <f>'5a-OpExYear1'!M11</f>
        <v>0</v>
      </c>
      <c r="N28" s="409">
        <f>'5a-OpExYear1'!N11</f>
        <v>0</v>
      </c>
      <c r="O28" s="165">
        <f t="shared" ref="O28:O45" si="5">SUM(C28:N28)</f>
        <v>0</v>
      </c>
    </row>
    <row r="29" spans="2:15" x14ac:dyDescent="0.35">
      <c r="B29" s="414" t="str">
        <f>'5a-OpExYear1'!B12</f>
        <v>Commissions and Fees</v>
      </c>
      <c r="C29" s="409">
        <f>'5a-OpExYear1'!C12</f>
        <v>0</v>
      </c>
      <c r="D29" s="409">
        <f>'5a-OpExYear1'!D12</f>
        <v>0</v>
      </c>
      <c r="E29" s="409">
        <f>'5a-OpExYear1'!E12</f>
        <v>0</v>
      </c>
      <c r="F29" s="409">
        <f>'5a-OpExYear1'!F12</f>
        <v>0</v>
      </c>
      <c r="G29" s="409">
        <f>'5a-OpExYear1'!G12</f>
        <v>0</v>
      </c>
      <c r="H29" s="409">
        <f>'5a-OpExYear1'!H12</f>
        <v>0</v>
      </c>
      <c r="I29" s="409">
        <f>'5a-OpExYear1'!I12</f>
        <v>0</v>
      </c>
      <c r="J29" s="409">
        <f>'5a-OpExYear1'!J12</f>
        <v>0</v>
      </c>
      <c r="K29" s="409">
        <f>'5a-OpExYear1'!K12</f>
        <v>0</v>
      </c>
      <c r="L29" s="409">
        <f>'5a-OpExYear1'!L12</f>
        <v>0</v>
      </c>
      <c r="M29" s="409">
        <f>'5a-OpExYear1'!M12</f>
        <v>0</v>
      </c>
      <c r="N29" s="409">
        <f>'5a-OpExYear1'!N12</f>
        <v>0</v>
      </c>
      <c r="O29" s="165">
        <f t="shared" si="5"/>
        <v>0</v>
      </c>
    </row>
    <row r="30" spans="2:15" x14ac:dyDescent="0.35">
      <c r="B30" s="414" t="str">
        <f>'5a-OpExYear1'!B13</f>
        <v>Contract Labor (Not included in payroll)</v>
      </c>
      <c r="C30" s="409">
        <f>'5a-OpExYear1'!C13</f>
        <v>0</v>
      </c>
      <c r="D30" s="409">
        <f>'5a-OpExYear1'!D13</f>
        <v>0</v>
      </c>
      <c r="E30" s="409">
        <f>'5a-OpExYear1'!E13</f>
        <v>0</v>
      </c>
      <c r="F30" s="409">
        <f>'5a-OpExYear1'!F13</f>
        <v>0</v>
      </c>
      <c r="G30" s="409">
        <f>'5a-OpExYear1'!G13</f>
        <v>0</v>
      </c>
      <c r="H30" s="409">
        <f>'5a-OpExYear1'!H13</f>
        <v>0</v>
      </c>
      <c r="I30" s="409">
        <f>'5a-OpExYear1'!I13</f>
        <v>0</v>
      </c>
      <c r="J30" s="409">
        <f>'5a-OpExYear1'!J13</f>
        <v>0</v>
      </c>
      <c r="K30" s="409">
        <f>'5a-OpExYear1'!K13</f>
        <v>0</v>
      </c>
      <c r="L30" s="409">
        <f>'5a-OpExYear1'!L13</f>
        <v>0</v>
      </c>
      <c r="M30" s="409">
        <f>'5a-OpExYear1'!M13</f>
        <v>0</v>
      </c>
      <c r="N30" s="409">
        <f>'5a-OpExYear1'!N13</f>
        <v>0</v>
      </c>
      <c r="O30" s="165">
        <f t="shared" si="5"/>
        <v>0</v>
      </c>
    </row>
    <row r="31" spans="2:15" x14ac:dyDescent="0.35">
      <c r="B31" s="414" t="str">
        <f>'5a-OpExYear1'!B14</f>
        <v>Insurance (other than health)</v>
      </c>
      <c r="C31" s="409">
        <f>'5a-OpExYear1'!C14</f>
        <v>0</v>
      </c>
      <c r="D31" s="409">
        <f>'5a-OpExYear1'!D14</f>
        <v>0</v>
      </c>
      <c r="E31" s="409">
        <f>'5a-OpExYear1'!E14</f>
        <v>0</v>
      </c>
      <c r="F31" s="409">
        <f>'5a-OpExYear1'!F14</f>
        <v>0</v>
      </c>
      <c r="G31" s="409">
        <f>'5a-OpExYear1'!G14</f>
        <v>0</v>
      </c>
      <c r="H31" s="409">
        <f>'5a-OpExYear1'!H14</f>
        <v>0</v>
      </c>
      <c r="I31" s="409">
        <f>'5a-OpExYear1'!I14</f>
        <v>0</v>
      </c>
      <c r="J31" s="409">
        <f>'5a-OpExYear1'!J14</f>
        <v>0</v>
      </c>
      <c r="K31" s="409">
        <f>'5a-OpExYear1'!K14</f>
        <v>0</v>
      </c>
      <c r="L31" s="409">
        <f>'5a-OpExYear1'!L14</f>
        <v>0</v>
      </c>
      <c r="M31" s="409">
        <f>'5a-OpExYear1'!M14</f>
        <v>0</v>
      </c>
      <c r="N31" s="409">
        <f>'5a-OpExYear1'!N14</f>
        <v>0</v>
      </c>
      <c r="O31" s="165">
        <f t="shared" si="5"/>
        <v>0</v>
      </c>
    </row>
    <row r="32" spans="2:15" x14ac:dyDescent="0.35">
      <c r="B32" s="414" t="str">
        <f>'5a-OpExYear1'!B15</f>
        <v>Legal and Professional Services</v>
      </c>
      <c r="C32" s="409">
        <f>'5a-OpExYear1'!C15</f>
        <v>0</v>
      </c>
      <c r="D32" s="409">
        <f>'5a-OpExYear1'!D15</f>
        <v>0</v>
      </c>
      <c r="E32" s="409">
        <f>'5a-OpExYear1'!E15</f>
        <v>0</v>
      </c>
      <c r="F32" s="409">
        <f>'5a-OpExYear1'!F15</f>
        <v>0</v>
      </c>
      <c r="G32" s="409">
        <f>'5a-OpExYear1'!G15</f>
        <v>0</v>
      </c>
      <c r="H32" s="409">
        <f>'5a-OpExYear1'!H15</f>
        <v>0</v>
      </c>
      <c r="I32" s="409">
        <f>'5a-OpExYear1'!I15</f>
        <v>0</v>
      </c>
      <c r="J32" s="409">
        <f>'5a-OpExYear1'!J15</f>
        <v>0</v>
      </c>
      <c r="K32" s="409">
        <f>'5a-OpExYear1'!K15</f>
        <v>0</v>
      </c>
      <c r="L32" s="409">
        <f>'5a-OpExYear1'!L15</f>
        <v>0</v>
      </c>
      <c r="M32" s="409">
        <f>'5a-OpExYear1'!M15</f>
        <v>0</v>
      </c>
      <c r="N32" s="409">
        <f>'5a-OpExYear1'!N15</f>
        <v>0</v>
      </c>
      <c r="O32" s="165">
        <f t="shared" si="5"/>
        <v>0</v>
      </c>
    </row>
    <row r="33" spans="2:15" x14ac:dyDescent="0.35">
      <c r="B33" s="414" t="str">
        <f>'5a-OpExYear1'!B16</f>
        <v>Licenses</v>
      </c>
      <c r="C33" s="409">
        <f>'5a-OpExYear1'!C16</f>
        <v>0</v>
      </c>
      <c r="D33" s="409">
        <f>'5a-OpExYear1'!D16</f>
        <v>0</v>
      </c>
      <c r="E33" s="409">
        <f>'5a-OpExYear1'!E16</f>
        <v>0</v>
      </c>
      <c r="F33" s="409">
        <f>'5a-OpExYear1'!F16</f>
        <v>0</v>
      </c>
      <c r="G33" s="409">
        <f>'5a-OpExYear1'!G16</f>
        <v>0</v>
      </c>
      <c r="H33" s="409">
        <f>'5a-OpExYear1'!H16</f>
        <v>0</v>
      </c>
      <c r="I33" s="409">
        <f>'5a-OpExYear1'!I16</f>
        <v>0</v>
      </c>
      <c r="J33" s="409">
        <f>'5a-OpExYear1'!J16</f>
        <v>0</v>
      </c>
      <c r="K33" s="409">
        <f>'5a-OpExYear1'!K16</f>
        <v>0</v>
      </c>
      <c r="L33" s="409">
        <f>'5a-OpExYear1'!L16</f>
        <v>0</v>
      </c>
      <c r="M33" s="409">
        <f>'5a-OpExYear1'!M16</f>
        <v>0</v>
      </c>
      <c r="N33" s="409">
        <f>'5a-OpExYear1'!N16</f>
        <v>0</v>
      </c>
      <c r="O33" s="165">
        <f t="shared" si="5"/>
        <v>0</v>
      </c>
    </row>
    <row r="34" spans="2:15" x14ac:dyDescent="0.35">
      <c r="B34" s="414" t="str">
        <f>'5a-OpExYear1'!B17</f>
        <v>Office Expense</v>
      </c>
      <c r="C34" s="409">
        <f>'5a-OpExYear1'!C17</f>
        <v>0</v>
      </c>
      <c r="D34" s="409">
        <f>'5a-OpExYear1'!D17</f>
        <v>0</v>
      </c>
      <c r="E34" s="409">
        <f>'5a-OpExYear1'!E17</f>
        <v>0</v>
      </c>
      <c r="F34" s="409">
        <f>'5a-OpExYear1'!F17</f>
        <v>0</v>
      </c>
      <c r="G34" s="409">
        <f>'5a-OpExYear1'!G17</f>
        <v>0</v>
      </c>
      <c r="H34" s="409">
        <f>'5a-OpExYear1'!H17</f>
        <v>0</v>
      </c>
      <c r="I34" s="409">
        <f>'5a-OpExYear1'!I17</f>
        <v>0</v>
      </c>
      <c r="J34" s="409">
        <f>'5a-OpExYear1'!J17</f>
        <v>0</v>
      </c>
      <c r="K34" s="409">
        <f>'5a-OpExYear1'!K17</f>
        <v>0</v>
      </c>
      <c r="L34" s="409">
        <f>'5a-OpExYear1'!L17</f>
        <v>0</v>
      </c>
      <c r="M34" s="409">
        <f>'5a-OpExYear1'!M17</f>
        <v>0</v>
      </c>
      <c r="N34" s="409">
        <f>'5a-OpExYear1'!N17</f>
        <v>0</v>
      </c>
      <c r="O34" s="165">
        <f t="shared" si="5"/>
        <v>0</v>
      </c>
    </row>
    <row r="35" spans="2:15" x14ac:dyDescent="0.35">
      <c r="B35" s="414" t="str">
        <f>'5a-OpExYear1'!B18</f>
        <v>Rent or Lease -- Vehicles, Machinery, Equipment</v>
      </c>
      <c r="C35" s="409">
        <f>'5a-OpExYear1'!C18</f>
        <v>0</v>
      </c>
      <c r="D35" s="409">
        <f>'5a-OpExYear1'!D18</f>
        <v>0</v>
      </c>
      <c r="E35" s="409">
        <f>'5a-OpExYear1'!E18</f>
        <v>0</v>
      </c>
      <c r="F35" s="409">
        <f>'5a-OpExYear1'!F18</f>
        <v>0</v>
      </c>
      <c r="G35" s="409">
        <f>'5a-OpExYear1'!G18</f>
        <v>0</v>
      </c>
      <c r="H35" s="409">
        <f>'5a-OpExYear1'!H18</f>
        <v>0</v>
      </c>
      <c r="I35" s="409">
        <f>'5a-OpExYear1'!I18</f>
        <v>0</v>
      </c>
      <c r="J35" s="409">
        <f>'5a-OpExYear1'!J18</f>
        <v>0</v>
      </c>
      <c r="K35" s="409">
        <f>'5a-OpExYear1'!K18</f>
        <v>0</v>
      </c>
      <c r="L35" s="409">
        <f>'5a-OpExYear1'!L18</f>
        <v>0</v>
      </c>
      <c r="M35" s="409">
        <f>'5a-OpExYear1'!M18</f>
        <v>0</v>
      </c>
      <c r="N35" s="409">
        <f>'5a-OpExYear1'!N18</f>
        <v>0</v>
      </c>
      <c r="O35" s="165">
        <f t="shared" si="5"/>
        <v>0</v>
      </c>
    </row>
    <row r="36" spans="2:15" x14ac:dyDescent="0.35">
      <c r="B36" s="414" t="str">
        <f>'5a-OpExYear1'!B19</f>
        <v>Rent or Lease -- Other Business Property</v>
      </c>
      <c r="C36" s="409">
        <f>'5a-OpExYear1'!C19</f>
        <v>0</v>
      </c>
      <c r="D36" s="409">
        <f>'5a-OpExYear1'!D19</f>
        <v>0</v>
      </c>
      <c r="E36" s="409">
        <f>'5a-OpExYear1'!E19</f>
        <v>0</v>
      </c>
      <c r="F36" s="409">
        <f>'5a-OpExYear1'!F19</f>
        <v>0</v>
      </c>
      <c r="G36" s="409">
        <f>'5a-OpExYear1'!G19</f>
        <v>0</v>
      </c>
      <c r="H36" s="409">
        <f>'5a-OpExYear1'!H19</f>
        <v>0</v>
      </c>
      <c r="I36" s="409">
        <f>'5a-OpExYear1'!I19</f>
        <v>0</v>
      </c>
      <c r="J36" s="409">
        <f>'5a-OpExYear1'!J19</f>
        <v>0</v>
      </c>
      <c r="K36" s="409">
        <f>'5a-OpExYear1'!K19</f>
        <v>0</v>
      </c>
      <c r="L36" s="409">
        <f>'5a-OpExYear1'!L19</f>
        <v>0</v>
      </c>
      <c r="M36" s="409">
        <f>'5a-OpExYear1'!M19</f>
        <v>0</v>
      </c>
      <c r="N36" s="409">
        <f>'5a-OpExYear1'!N19</f>
        <v>0</v>
      </c>
      <c r="O36" s="165">
        <f t="shared" si="5"/>
        <v>0</v>
      </c>
    </row>
    <row r="37" spans="2:15" x14ac:dyDescent="0.35">
      <c r="B37" s="414" t="str">
        <f>'5a-OpExYear1'!B20</f>
        <v>Repairs and Maintenance</v>
      </c>
      <c r="C37" s="409">
        <f>'5a-OpExYear1'!C20</f>
        <v>0</v>
      </c>
      <c r="D37" s="409">
        <f>'5a-OpExYear1'!D20</f>
        <v>0</v>
      </c>
      <c r="E37" s="409">
        <f>'5a-OpExYear1'!E20</f>
        <v>0</v>
      </c>
      <c r="F37" s="409">
        <f>'5a-OpExYear1'!F20</f>
        <v>0</v>
      </c>
      <c r="G37" s="409">
        <f>'5a-OpExYear1'!G20</f>
        <v>0</v>
      </c>
      <c r="H37" s="409">
        <f>'5a-OpExYear1'!H20</f>
        <v>0</v>
      </c>
      <c r="I37" s="409">
        <f>'5a-OpExYear1'!I20</f>
        <v>0</v>
      </c>
      <c r="J37" s="409">
        <f>'5a-OpExYear1'!J20</f>
        <v>0</v>
      </c>
      <c r="K37" s="409">
        <f>'5a-OpExYear1'!K20</f>
        <v>0</v>
      </c>
      <c r="L37" s="409">
        <f>'5a-OpExYear1'!L20</f>
        <v>0</v>
      </c>
      <c r="M37" s="409">
        <f>'5a-OpExYear1'!M20</f>
        <v>0</v>
      </c>
      <c r="N37" s="409">
        <f>'5a-OpExYear1'!N20</f>
        <v>0</v>
      </c>
      <c r="O37" s="165">
        <f t="shared" si="5"/>
        <v>0</v>
      </c>
    </row>
    <row r="38" spans="2:15" x14ac:dyDescent="0.35">
      <c r="B38" s="414" t="str">
        <f>'5a-OpExYear1'!B21</f>
        <v>Supplies</v>
      </c>
      <c r="C38" s="409">
        <f>'5a-OpExYear1'!C21</f>
        <v>0</v>
      </c>
      <c r="D38" s="409">
        <f>'5a-OpExYear1'!D21</f>
        <v>0</v>
      </c>
      <c r="E38" s="409">
        <f>'5a-OpExYear1'!E21</f>
        <v>0</v>
      </c>
      <c r="F38" s="409">
        <f>'5a-OpExYear1'!F21</f>
        <v>0</v>
      </c>
      <c r="G38" s="409">
        <f>'5a-OpExYear1'!G21</f>
        <v>0</v>
      </c>
      <c r="H38" s="409">
        <f>'5a-OpExYear1'!H21</f>
        <v>0</v>
      </c>
      <c r="I38" s="409">
        <f>'5a-OpExYear1'!I21</f>
        <v>0</v>
      </c>
      <c r="J38" s="409">
        <f>'5a-OpExYear1'!J21</f>
        <v>0</v>
      </c>
      <c r="K38" s="409">
        <f>'5a-OpExYear1'!K21</f>
        <v>0</v>
      </c>
      <c r="L38" s="409">
        <f>'5a-OpExYear1'!L21</f>
        <v>0</v>
      </c>
      <c r="M38" s="409">
        <f>'5a-OpExYear1'!M21</f>
        <v>0</v>
      </c>
      <c r="N38" s="409">
        <f>'5a-OpExYear1'!N21</f>
        <v>0</v>
      </c>
      <c r="O38" s="165">
        <f t="shared" si="5"/>
        <v>0</v>
      </c>
    </row>
    <row r="39" spans="2:15" x14ac:dyDescent="0.35">
      <c r="B39" s="414" t="str">
        <f>'5a-OpExYear1'!B22</f>
        <v>Travel, Meals and Entertainment</v>
      </c>
      <c r="C39" s="409">
        <f>'5a-OpExYear1'!C22</f>
        <v>0</v>
      </c>
      <c r="D39" s="409">
        <f>'5a-OpExYear1'!D22</f>
        <v>0</v>
      </c>
      <c r="E39" s="409">
        <f>'5a-OpExYear1'!E22</f>
        <v>0</v>
      </c>
      <c r="F39" s="409">
        <f>'5a-OpExYear1'!F22</f>
        <v>0</v>
      </c>
      <c r="G39" s="409">
        <f>'5a-OpExYear1'!G22</f>
        <v>0</v>
      </c>
      <c r="H39" s="409">
        <f>'5a-OpExYear1'!H22</f>
        <v>0</v>
      </c>
      <c r="I39" s="409">
        <f>'5a-OpExYear1'!I22</f>
        <v>0</v>
      </c>
      <c r="J39" s="409">
        <f>'5a-OpExYear1'!J22</f>
        <v>0</v>
      </c>
      <c r="K39" s="409">
        <f>'5a-OpExYear1'!K22</f>
        <v>0</v>
      </c>
      <c r="L39" s="409">
        <f>'5a-OpExYear1'!L22</f>
        <v>0</v>
      </c>
      <c r="M39" s="409">
        <f>'5a-OpExYear1'!M22</f>
        <v>0</v>
      </c>
      <c r="N39" s="409">
        <f>'5a-OpExYear1'!N22</f>
        <v>0</v>
      </c>
      <c r="O39" s="165">
        <f t="shared" si="5"/>
        <v>0</v>
      </c>
    </row>
    <row r="40" spans="2:15" x14ac:dyDescent="0.35">
      <c r="B40" s="414" t="str">
        <f>'5a-OpExYear1'!B23</f>
        <v>Utilities</v>
      </c>
      <c r="C40" s="409">
        <f>'5a-OpExYear1'!C23</f>
        <v>0</v>
      </c>
      <c r="D40" s="409">
        <f>'5a-OpExYear1'!D23</f>
        <v>0</v>
      </c>
      <c r="E40" s="409">
        <f>'5a-OpExYear1'!E23</f>
        <v>0</v>
      </c>
      <c r="F40" s="409">
        <f>'5a-OpExYear1'!F23</f>
        <v>0</v>
      </c>
      <c r="G40" s="409">
        <f>'5a-OpExYear1'!G23</f>
        <v>0</v>
      </c>
      <c r="H40" s="409">
        <f>'5a-OpExYear1'!H23</f>
        <v>0</v>
      </c>
      <c r="I40" s="409">
        <f>'5a-OpExYear1'!I23</f>
        <v>0</v>
      </c>
      <c r="J40" s="409">
        <f>'5a-OpExYear1'!J23</f>
        <v>0</v>
      </c>
      <c r="K40" s="409">
        <f>'5a-OpExYear1'!K23</f>
        <v>0</v>
      </c>
      <c r="L40" s="409">
        <f>'5a-OpExYear1'!L23</f>
        <v>0</v>
      </c>
      <c r="M40" s="409">
        <f>'5a-OpExYear1'!M23</f>
        <v>0</v>
      </c>
      <c r="N40" s="409">
        <f>'5a-OpExYear1'!N23</f>
        <v>0</v>
      </c>
      <c r="O40" s="165">
        <f t="shared" si="5"/>
        <v>0</v>
      </c>
    </row>
    <row r="41" spans="2:15" x14ac:dyDescent="0.35">
      <c r="B41" s="414" t="str">
        <f>'5a-OpExYear1'!B24</f>
        <v xml:space="preserve">Miscellaneous </v>
      </c>
      <c r="C41" s="409">
        <f>'5a-OpExYear1'!C24</f>
        <v>0</v>
      </c>
      <c r="D41" s="409">
        <f>'5a-OpExYear1'!D24</f>
        <v>0</v>
      </c>
      <c r="E41" s="409">
        <f>'5a-OpExYear1'!E24</f>
        <v>0</v>
      </c>
      <c r="F41" s="409">
        <f>'5a-OpExYear1'!F24</f>
        <v>0</v>
      </c>
      <c r="G41" s="409">
        <f>'5a-OpExYear1'!G24</f>
        <v>0</v>
      </c>
      <c r="H41" s="409">
        <f>'5a-OpExYear1'!H24</f>
        <v>0</v>
      </c>
      <c r="I41" s="409">
        <f>'5a-OpExYear1'!I24</f>
        <v>0</v>
      </c>
      <c r="J41" s="409">
        <f>'5a-OpExYear1'!J24</f>
        <v>0</v>
      </c>
      <c r="K41" s="409">
        <f>'5a-OpExYear1'!K24</f>
        <v>0</v>
      </c>
      <c r="L41" s="409">
        <f>'5a-OpExYear1'!L24</f>
        <v>0</v>
      </c>
      <c r="M41" s="409">
        <f>'5a-OpExYear1'!M24</f>
        <v>0</v>
      </c>
      <c r="N41" s="409">
        <f>'5a-OpExYear1'!N24</f>
        <v>0</v>
      </c>
      <c r="O41" s="165">
        <f t="shared" si="5"/>
        <v>0</v>
      </c>
    </row>
    <row r="42" spans="2:15" x14ac:dyDescent="0.35">
      <c r="B42" s="415" t="s">
        <v>200</v>
      </c>
      <c r="C42" s="409"/>
      <c r="D42" s="409"/>
      <c r="E42" s="409"/>
      <c r="F42" s="409"/>
      <c r="G42" s="409"/>
      <c r="H42" s="409"/>
      <c r="I42" s="409"/>
      <c r="J42" s="409"/>
      <c r="K42" s="409"/>
      <c r="L42" s="409"/>
      <c r="M42" s="409"/>
      <c r="N42" s="409"/>
      <c r="O42" s="165"/>
    </row>
    <row r="43" spans="2:15" x14ac:dyDescent="0.35">
      <c r="B43" s="415" t="s">
        <v>201</v>
      </c>
      <c r="C43" s="409"/>
      <c r="D43" s="409"/>
      <c r="E43" s="409"/>
      <c r="F43" s="409"/>
      <c r="G43" s="409"/>
      <c r="H43" s="409"/>
      <c r="I43" s="409"/>
      <c r="J43" s="409"/>
      <c r="K43" s="409"/>
      <c r="L43" s="409"/>
      <c r="M43" s="409"/>
      <c r="N43" s="409"/>
      <c r="O43" s="165"/>
    </row>
    <row r="44" spans="2:15" x14ac:dyDescent="0.35">
      <c r="B44" s="416" t="s">
        <v>167</v>
      </c>
      <c r="C44" s="412">
        <f>SUM(C27:C43)</f>
        <v>0</v>
      </c>
      <c r="D44" s="412">
        <f t="shared" ref="D44:N44" si="6">SUM(D27:D43)</f>
        <v>0</v>
      </c>
      <c r="E44" s="412">
        <f t="shared" si="6"/>
        <v>0</v>
      </c>
      <c r="F44" s="412">
        <f t="shared" si="6"/>
        <v>0</v>
      </c>
      <c r="G44" s="412">
        <f t="shared" si="6"/>
        <v>0</v>
      </c>
      <c r="H44" s="412">
        <f t="shared" si="6"/>
        <v>0</v>
      </c>
      <c r="I44" s="412">
        <f t="shared" si="6"/>
        <v>0</v>
      </c>
      <c r="J44" s="412">
        <f t="shared" si="6"/>
        <v>0</v>
      </c>
      <c r="K44" s="412">
        <f t="shared" si="6"/>
        <v>0</v>
      </c>
      <c r="L44" s="412">
        <f t="shared" si="6"/>
        <v>0</v>
      </c>
      <c r="M44" s="412">
        <f t="shared" si="6"/>
        <v>0</v>
      </c>
      <c r="N44" s="412">
        <f t="shared" si="6"/>
        <v>0</v>
      </c>
      <c r="O44" s="165">
        <f t="shared" si="5"/>
        <v>0</v>
      </c>
    </row>
    <row r="45" spans="2:15" x14ac:dyDescent="0.35">
      <c r="B45" s="416" t="s">
        <v>202</v>
      </c>
      <c r="C45" s="412">
        <f>C24-C25-C44</f>
        <v>0</v>
      </c>
      <c r="D45" s="412">
        <f t="shared" ref="D45:N45" si="7">+D24-D25-D44</f>
        <v>0</v>
      </c>
      <c r="E45" s="412">
        <f t="shared" si="7"/>
        <v>0</v>
      </c>
      <c r="F45" s="412">
        <f t="shared" si="7"/>
        <v>0</v>
      </c>
      <c r="G45" s="412">
        <f t="shared" si="7"/>
        <v>0</v>
      </c>
      <c r="H45" s="412">
        <f t="shared" si="7"/>
        <v>0</v>
      </c>
      <c r="I45" s="412">
        <f t="shared" si="7"/>
        <v>0</v>
      </c>
      <c r="J45" s="412">
        <f t="shared" si="7"/>
        <v>0</v>
      </c>
      <c r="K45" s="412">
        <f t="shared" si="7"/>
        <v>0</v>
      </c>
      <c r="L45" s="412">
        <f t="shared" si="7"/>
        <v>0</v>
      </c>
      <c r="M45" s="412">
        <f t="shared" si="7"/>
        <v>0</v>
      </c>
      <c r="N45" s="412">
        <f t="shared" si="7"/>
        <v>0</v>
      </c>
      <c r="O45" s="165">
        <f t="shared" si="5"/>
        <v>0</v>
      </c>
    </row>
    <row r="46" spans="2:15" x14ac:dyDescent="0.35">
      <c r="B46" s="417" t="s">
        <v>158</v>
      </c>
      <c r="C46" s="138"/>
      <c r="D46" s="138"/>
      <c r="E46" s="138"/>
      <c r="F46" s="138"/>
      <c r="G46" s="138"/>
      <c r="H46" s="138"/>
      <c r="I46" s="138"/>
      <c r="J46" s="138"/>
      <c r="K46" s="138"/>
      <c r="L46" s="138"/>
      <c r="M46" s="138"/>
      <c r="N46" s="138"/>
      <c r="O46" s="165"/>
    </row>
    <row r="47" spans="2:15" x14ac:dyDescent="0.35">
      <c r="B47" s="418" t="s">
        <v>203</v>
      </c>
      <c r="C47" s="409">
        <f>+'Amortization&amp;Depreciation'!C138+'Amortization&amp;Depreciation'!C149</f>
        <v>0</v>
      </c>
      <c r="D47" s="409">
        <f>+'Amortization&amp;Depreciation'!D138+'Amortization&amp;Depreciation'!D149</f>
        <v>0</v>
      </c>
      <c r="E47" s="409">
        <f>+'Amortization&amp;Depreciation'!E138+'Amortization&amp;Depreciation'!E149</f>
        <v>0</v>
      </c>
      <c r="F47" s="409">
        <f>+'Amortization&amp;Depreciation'!F138+'Amortization&amp;Depreciation'!F149</f>
        <v>0</v>
      </c>
      <c r="G47" s="409">
        <f>+'Amortization&amp;Depreciation'!G138+'Amortization&amp;Depreciation'!G149</f>
        <v>0</v>
      </c>
      <c r="H47" s="409">
        <f>+'Amortization&amp;Depreciation'!H138+'Amortization&amp;Depreciation'!H149</f>
        <v>0</v>
      </c>
      <c r="I47" s="409">
        <f>+'Amortization&amp;Depreciation'!I138+'Amortization&amp;Depreciation'!I149</f>
        <v>0</v>
      </c>
      <c r="J47" s="409">
        <f>+'Amortization&amp;Depreciation'!J138+'Amortization&amp;Depreciation'!J149</f>
        <v>0</v>
      </c>
      <c r="K47" s="409">
        <f>+'Amortization&amp;Depreciation'!K138+'Amortization&amp;Depreciation'!K149</f>
        <v>0</v>
      </c>
      <c r="L47" s="409">
        <f>+'Amortization&amp;Depreciation'!L138+'Amortization&amp;Depreciation'!L149</f>
        <v>0</v>
      </c>
      <c r="M47" s="409">
        <f>+'Amortization&amp;Depreciation'!M138+'Amortization&amp;Depreciation'!M149</f>
        <v>0</v>
      </c>
      <c r="N47" s="409">
        <f>+'Amortization&amp;Depreciation'!N138+'Amortization&amp;Depreciation'!N149</f>
        <v>0</v>
      </c>
      <c r="O47" s="165">
        <f>SUM(C47:N47)</f>
        <v>0</v>
      </c>
    </row>
    <row r="48" spans="2:15" x14ac:dyDescent="0.35">
      <c r="B48" s="418" t="s">
        <v>204</v>
      </c>
      <c r="C48" s="409">
        <f>'Amortization&amp;Depreciation'!C119</f>
        <v>0</v>
      </c>
      <c r="D48" s="409">
        <f>+'Amortization&amp;Depreciation'!D119</f>
        <v>0</v>
      </c>
      <c r="E48" s="409">
        <f>+'Amortization&amp;Depreciation'!E119</f>
        <v>0</v>
      </c>
      <c r="F48" s="409">
        <f>+'Amortization&amp;Depreciation'!F119</f>
        <v>0</v>
      </c>
      <c r="G48" s="409">
        <f>+'Amortization&amp;Depreciation'!G119</f>
        <v>0</v>
      </c>
      <c r="H48" s="409">
        <f>+'Amortization&amp;Depreciation'!H119</f>
        <v>0</v>
      </c>
      <c r="I48" s="409">
        <f>+'Amortization&amp;Depreciation'!I119</f>
        <v>0</v>
      </c>
      <c r="J48" s="409">
        <f>+'Amortization&amp;Depreciation'!J119</f>
        <v>0</v>
      </c>
      <c r="K48" s="409">
        <f>+'Amortization&amp;Depreciation'!K119</f>
        <v>0</v>
      </c>
      <c r="L48" s="409">
        <f>+'Amortization&amp;Depreciation'!L119</f>
        <v>0</v>
      </c>
      <c r="M48" s="409">
        <f>+'Amortization&amp;Depreciation'!M119</f>
        <v>0</v>
      </c>
      <c r="N48" s="409">
        <f>+'Amortization&amp;Depreciation'!N119</f>
        <v>0</v>
      </c>
      <c r="O48" s="165">
        <f>SUM(C48:N48)</f>
        <v>0</v>
      </c>
    </row>
    <row r="49" spans="1:15" x14ac:dyDescent="0.35">
      <c r="B49" s="418" t="s">
        <v>160</v>
      </c>
      <c r="C49" s="419"/>
      <c r="D49" s="419"/>
      <c r="E49" s="419"/>
      <c r="F49" s="419"/>
      <c r="G49" s="419"/>
      <c r="H49" s="419"/>
      <c r="I49" s="419"/>
      <c r="J49" s="419"/>
      <c r="K49" s="419"/>
      <c r="L49" s="419"/>
      <c r="M49" s="419"/>
      <c r="N49" s="419"/>
      <c r="O49" s="165"/>
    </row>
    <row r="50" spans="1:15" x14ac:dyDescent="0.35">
      <c r="B50" s="420" t="s">
        <v>45</v>
      </c>
      <c r="C50" s="409">
        <f>+'Amortization&amp;Depreciation'!C15</f>
        <v>0</v>
      </c>
      <c r="D50" s="409">
        <f>+'Amortization&amp;Depreciation'!D15</f>
        <v>0</v>
      </c>
      <c r="E50" s="409">
        <f>+'Amortization&amp;Depreciation'!E15</f>
        <v>0</v>
      </c>
      <c r="F50" s="409">
        <f>+'Amortization&amp;Depreciation'!F15</f>
        <v>0</v>
      </c>
      <c r="G50" s="409">
        <f>+'Amortization&amp;Depreciation'!G15</f>
        <v>0</v>
      </c>
      <c r="H50" s="409">
        <f>+'Amortization&amp;Depreciation'!H15</f>
        <v>0</v>
      </c>
      <c r="I50" s="409">
        <f>+'Amortization&amp;Depreciation'!I15</f>
        <v>0</v>
      </c>
      <c r="J50" s="409">
        <f>+'Amortization&amp;Depreciation'!J15</f>
        <v>0</v>
      </c>
      <c r="K50" s="409">
        <f>+'Amortization&amp;Depreciation'!K15</f>
        <v>0</v>
      </c>
      <c r="L50" s="409">
        <f>+'Amortization&amp;Depreciation'!L15</f>
        <v>0</v>
      </c>
      <c r="M50" s="409">
        <f>+'Amortization&amp;Depreciation'!M15</f>
        <v>0</v>
      </c>
      <c r="N50" s="409">
        <f>+'Amortization&amp;Depreciation'!N15</f>
        <v>0</v>
      </c>
      <c r="O50" s="165">
        <f t="shared" ref="O50:O59" si="8">SUM(C50:N50)</f>
        <v>0</v>
      </c>
    </row>
    <row r="51" spans="1:15" x14ac:dyDescent="0.35">
      <c r="B51" s="420" t="s">
        <v>46</v>
      </c>
      <c r="C51" s="409">
        <f>+'Amortization&amp;Depreciation'!C35</f>
        <v>0</v>
      </c>
      <c r="D51" s="409">
        <f>+'Amortization&amp;Depreciation'!D35</f>
        <v>0</v>
      </c>
      <c r="E51" s="409">
        <f>+'Amortization&amp;Depreciation'!E35</f>
        <v>0</v>
      </c>
      <c r="F51" s="409">
        <f>+'Amortization&amp;Depreciation'!F35</f>
        <v>0</v>
      </c>
      <c r="G51" s="409">
        <f>+'Amortization&amp;Depreciation'!G35</f>
        <v>0</v>
      </c>
      <c r="H51" s="409">
        <f>+'Amortization&amp;Depreciation'!H35</f>
        <v>0</v>
      </c>
      <c r="I51" s="409">
        <f>+'Amortization&amp;Depreciation'!I35</f>
        <v>0</v>
      </c>
      <c r="J51" s="409">
        <f>+'Amortization&amp;Depreciation'!J35</f>
        <v>0</v>
      </c>
      <c r="K51" s="409">
        <f>+'Amortization&amp;Depreciation'!K35</f>
        <v>0</v>
      </c>
      <c r="L51" s="409">
        <f>+'Amortization&amp;Depreciation'!L35</f>
        <v>0</v>
      </c>
      <c r="M51" s="409">
        <f>+'Amortization&amp;Depreciation'!M35</f>
        <v>0</v>
      </c>
      <c r="N51" s="409">
        <f>+'Amortization&amp;Depreciation'!N35</f>
        <v>0</v>
      </c>
      <c r="O51" s="165">
        <f t="shared" si="8"/>
        <v>0</v>
      </c>
    </row>
    <row r="52" spans="1:15" x14ac:dyDescent="0.35">
      <c r="B52" s="420" t="s">
        <v>48</v>
      </c>
      <c r="C52" s="409">
        <f>+'Amortization&amp;Depreciation'!C55</f>
        <v>0</v>
      </c>
      <c r="D52" s="409">
        <f>+'Amortization&amp;Depreciation'!D55</f>
        <v>0</v>
      </c>
      <c r="E52" s="409">
        <f>+'Amortization&amp;Depreciation'!E55</f>
        <v>0</v>
      </c>
      <c r="F52" s="409">
        <f>+'Amortization&amp;Depreciation'!F55</f>
        <v>0</v>
      </c>
      <c r="G52" s="409">
        <f>+'Amortization&amp;Depreciation'!G55</f>
        <v>0</v>
      </c>
      <c r="H52" s="409">
        <f>+'Amortization&amp;Depreciation'!H55</f>
        <v>0</v>
      </c>
      <c r="I52" s="409">
        <f>+'Amortization&amp;Depreciation'!I55</f>
        <v>0</v>
      </c>
      <c r="J52" s="409">
        <f>+'Amortization&amp;Depreciation'!J55</f>
        <v>0</v>
      </c>
      <c r="K52" s="409">
        <f>+'Amortization&amp;Depreciation'!K55</f>
        <v>0</v>
      </c>
      <c r="L52" s="409">
        <f>+'Amortization&amp;Depreciation'!L55</f>
        <v>0</v>
      </c>
      <c r="M52" s="409">
        <f>+'Amortization&amp;Depreciation'!M55</f>
        <v>0</v>
      </c>
      <c r="N52" s="409">
        <f>+'Amortization&amp;Depreciation'!N55</f>
        <v>0</v>
      </c>
      <c r="O52" s="165">
        <f t="shared" si="8"/>
        <v>0</v>
      </c>
    </row>
    <row r="53" spans="1:15" x14ac:dyDescent="0.35">
      <c r="B53" s="420" t="s">
        <v>49</v>
      </c>
      <c r="C53" s="409">
        <f>+'Amortization&amp;Depreciation'!C75</f>
        <v>0</v>
      </c>
      <c r="D53" s="409">
        <f>+'Amortization&amp;Depreciation'!D75</f>
        <v>0</v>
      </c>
      <c r="E53" s="409">
        <f>+'Amortization&amp;Depreciation'!E75</f>
        <v>0</v>
      </c>
      <c r="F53" s="409">
        <f>+'Amortization&amp;Depreciation'!F75</f>
        <v>0</v>
      </c>
      <c r="G53" s="409">
        <f>+'Amortization&amp;Depreciation'!G75</f>
        <v>0</v>
      </c>
      <c r="H53" s="409">
        <f>+'Amortization&amp;Depreciation'!H75</f>
        <v>0</v>
      </c>
      <c r="I53" s="409">
        <f>+'Amortization&amp;Depreciation'!I75</f>
        <v>0</v>
      </c>
      <c r="J53" s="409">
        <f>+'Amortization&amp;Depreciation'!J75</f>
        <v>0</v>
      </c>
      <c r="K53" s="409">
        <f>+'Amortization&amp;Depreciation'!K75</f>
        <v>0</v>
      </c>
      <c r="L53" s="409">
        <f>+'Amortization&amp;Depreciation'!L75</f>
        <v>0</v>
      </c>
      <c r="M53" s="409">
        <f>+'Amortization&amp;Depreciation'!M75</f>
        <v>0</v>
      </c>
      <c r="N53" s="409">
        <f>+'Amortization&amp;Depreciation'!N75</f>
        <v>0</v>
      </c>
      <c r="O53" s="165">
        <f>SUM(C53:N53)</f>
        <v>0</v>
      </c>
    </row>
    <row r="54" spans="1:15" x14ac:dyDescent="0.35">
      <c r="B54" s="420" t="s">
        <v>50</v>
      </c>
      <c r="C54" s="409">
        <f>+'Amortization&amp;Depreciation'!C95</f>
        <v>0</v>
      </c>
      <c r="D54" s="409">
        <f>+'Amortization&amp;Depreciation'!D95</f>
        <v>0</v>
      </c>
      <c r="E54" s="409">
        <f>+'Amortization&amp;Depreciation'!E95</f>
        <v>0</v>
      </c>
      <c r="F54" s="409">
        <f>+'Amortization&amp;Depreciation'!F95</f>
        <v>0</v>
      </c>
      <c r="G54" s="409">
        <f>+'Amortization&amp;Depreciation'!G95</f>
        <v>0</v>
      </c>
      <c r="H54" s="409">
        <f>+'Amortization&amp;Depreciation'!H95</f>
        <v>0</v>
      </c>
      <c r="I54" s="409">
        <f>+'Amortization&amp;Depreciation'!I95</f>
        <v>0</v>
      </c>
      <c r="J54" s="409">
        <f>+'Amortization&amp;Depreciation'!J95</f>
        <v>0</v>
      </c>
      <c r="K54" s="409">
        <f>+'Amortization&amp;Depreciation'!K95</f>
        <v>0</v>
      </c>
      <c r="L54" s="409">
        <f>+'Amortization&amp;Depreciation'!L95</f>
        <v>0</v>
      </c>
      <c r="M54" s="409">
        <f>+'Amortization&amp;Depreciation'!M95</f>
        <v>0</v>
      </c>
      <c r="N54" s="409">
        <f>+'Amortization&amp;Depreciation'!N95</f>
        <v>0</v>
      </c>
      <c r="O54" s="165">
        <f t="shared" si="8"/>
        <v>0</v>
      </c>
    </row>
    <row r="55" spans="1:15" x14ac:dyDescent="0.35">
      <c r="B55" s="420" t="s">
        <v>205</v>
      </c>
      <c r="C55" s="409">
        <f>'6a-CashFlowYear1'!C26</f>
        <v>0</v>
      </c>
      <c r="D55" s="409">
        <f>+'6a-CashFlowYear1'!D26</f>
        <v>0</v>
      </c>
      <c r="E55" s="409">
        <f>+'6a-CashFlowYear1'!E26</f>
        <v>0</v>
      </c>
      <c r="F55" s="409">
        <f>+'6a-CashFlowYear1'!F26</f>
        <v>0</v>
      </c>
      <c r="G55" s="409">
        <f>+'6a-CashFlowYear1'!G26</f>
        <v>0</v>
      </c>
      <c r="H55" s="409">
        <f>+'6a-CashFlowYear1'!H26</f>
        <v>0</v>
      </c>
      <c r="I55" s="409">
        <f>+'6a-CashFlowYear1'!I26</f>
        <v>0</v>
      </c>
      <c r="J55" s="409">
        <f>+'6a-CashFlowYear1'!J26</f>
        <v>0</v>
      </c>
      <c r="K55" s="409">
        <f>+'6a-CashFlowYear1'!K26</f>
        <v>0</v>
      </c>
      <c r="L55" s="409">
        <f>+'6a-CashFlowYear1'!L26</f>
        <v>0</v>
      </c>
      <c r="M55" s="409">
        <f>+'6a-CashFlowYear1'!M26</f>
        <v>0</v>
      </c>
      <c r="N55" s="409">
        <f>+'6a-CashFlowYear1'!N26</f>
        <v>0</v>
      </c>
      <c r="O55" s="165">
        <f t="shared" si="8"/>
        <v>0</v>
      </c>
    </row>
    <row r="56" spans="1:15" x14ac:dyDescent="0.35">
      <c r="B56" s="418" t="s">
        <v>162</v>
      </c>
      <c r="C56" s="409">
        <f>+'3a-SalesForecastYear1'!C53*'4-AdditionalInputs'!$C$12</f>
        <v>0</v>
      </c>
      <c r="D56" s="409">
        <f>+'3a-SalesForecastYear1'!D53*'4-AdditionalInputs'!$C$12</f>
        <v>0</v>
      </c>
      <c r="E56" s="409">
        <f>+'3a-SalesForecastYear1'!E53*'4-AdditionalInputs'!$C$12</f>
        <v>0</v>
      </c>
      <c r="F56" s="409">
        <f>+'3a-SalesForecastYear1'!F53*'4-AdditionalInputs'!$C$12</f>
        <v>0</v>
      </c>
      <c r="G56" s="409">
        <f>+'3a-SalesForecastYear1'!G53*'4-AdditionalInputs'!$C$12</f>
        <v>0</v>
      </c>
      <c r="H56" s="409">
        <f>+'3a-SalesForecastYear1'!H53*'4-AdditionalInputs'!$C$12</f>
        <v>0</v>
      </c>
      <c r="I56" s="409">
        <f>+'3a-SalesForecastYear1'!I53*'4-AdditionalInputs'!$C$12</f>
        <v>0</v>
      </c>
      <c r="J56" s="409">
        <f>+'3a-SalesForecastYear1'!J53*'4-AdditionalInputs'!$C$12</f>
        <v>0</v>
      </c>
      <c r="K56" s="409">
        <f>+'3a-SalesForecastYear1'!K53*'4-AdditionalInputs'!$C$12</f>
        <v>0</v>
      </c>
      <c r="L56" s="409">
        <f>+'3a-SalesForecastYear1'!L53*'4-AdditionalInputs'!$C$12</f>
        <v>0</v>
      </c>
      <c r="M56" s="409">
        <f>+'3a-SalesForecastYear1'!M53*'4-AdditionalInputs'!$C$12</f>
        <v>0</v>
      </c>
      <c r="N56" s="409">
        <f>+'3a-SalesForecastYear1'!N53*'4-AdditionalInputs'!$C$12</f>
        <v>0</v>
      </c>
      <c r="O56" s="165">
        <f t="shared" si="8"/>
        <v>0</v>
      </c>
    </row>
    <row r="57" spans="1:15" x14ac:dyDescent="0.35">
      <c r="B57" s="416" t="s">
        <v>163</v>
      </c>
      <c r="C57" s="409">
        <f>SUM(C47:C56)</f>
        <v>0</v>
      </c>
      <c r="D57" s="409">
        <f t="shared" ref="D57:N57" si="9">SUM(D47:D56)</f>
        <v>0</v>
      </c>
      <c r="E57" s="409">
        <f t="shared" si="9"/>
        <v>0</v>
      </c>
      <c r="F57" s="409">
        <f t="shared" si="9"/>
        <v>0</v>
      </c>
      <c r="G57" s="409">
        <f t="shared" si="9"/>
        <v>0</v>
      </c>
      <c r="H57" s="409">
        <f t="shared" si="9"/>
        <v>0</v>
      </c>
      <c r="I57" s="409">
        <f t="shared" si="9"/>
        <v>0</v>
      </c>
      <c r="J57" s="409">
        <f t="shared" si="9"/>
        <v>0</v>
      </c>
      <c r="K57" s="409">
        <f t="shared" si="9"/>
        <v>0</v>
      </c>
      <c r="L57" s="409">
        <f t="shared" si="9"/>
        <v>0</v>
      </c>
      <c r="M57" s="409">
        <f t="shared" si="9"/>
        <v>0</v>
      </c>
      <c r="N57" s="409">
        <f t="shared" si="9"/>
        <v>0</v>
      </c>
      <c r="O57" s="165">
        <f t="shared" si="8"/>
        <v>0</v>
      </c>
    </row>
    <row r="58" spans="1:15" x14ac:dyDescent="0.35">
      <c r="B58" s="384" t="s">
        <v>206</v>
      </c>
      <c r="C58" s="165">
        <f t="shared" ref="C58:N58" si="10">C24-C25-C44-C57</f>
        <v>0</v>
      </c>
      <c r="D58" s="165">
        <f t="shared" si="10"/>
        <v>0</v>
      </c>
      <c r="E58" s="165">
        <f t="shared" si="10"/>
        <v>0</v>
      </c>
      <c r="F58" s="165">
        <f t="shared" si="10"/>
        <v>0</v>
      </c>
      <c r="G58" s="165">
        <f t="shared" si="10"/>
        <v>0</v>
      </c>
      <c r="H58" s="165">
        <f t="shared" si="10"/>
        <v>0</v>
      </c>
      <c r="I58" s="165">
        <f t="shared" si="10"/>
        <v>0</v>
      </c>
      <c r="J58" s="165">
        <f t="shared" si="10"/>
        <v>0</v>
      </c>
      <c r="K58" s="165">
        <f t="shared" si="10"/>
        <v>0</v>
      </c>
      <c r="L58" s="165">
        <f t="shared" si="10"/>
        <v>0</v>
      </c>
      <c r="M58" s="165">
        <f t="shared" si="10"/>
        <v>0</v>
      </c>
      <c r="N58" s="165">
        <f t="shared" si="10"/>
        <v>0</v>
      </c>
      <c r="O58" s="165">
        <f t="shared" si="8"/>
        <v>0</v>
      </c>
    </row>
    <row r="59" spans="1:15" x14ac:dyDescent="0.35">
      <c r="B59" s="145" t="s">
        <v>207</v>
      </c>
      <c r="C59" s="350">
        <f>IF(C65&gt;0,C64*'4-AdditionalInputs'!$C$39,0)</f>
        <v>0</v>
      </c>
      <c r="D59" s="350">
        <f>+IF(D65&gt;0,IF(C65&lt;0,(D64-ABS(C65))*'4-AdditionalInputs'!$C$39,'7a-IncomeStatementYear1'!D64*'4-AdditionalInputs'!$C$39),IF('7a-IncomeStatementYear1'!C65&gt;0,-'7a-IncomeStatementYear1'!C65*'4-AdditionalInputs'!$C$39,0))</f>
        <v>0</v>
      </c>
      <c r="E59" s="350">
        <f>+IF(E65&gt;0,IF(D65&lt;0,(E64-ABS(D65))*'4-AdditionalInputs'!$C$39,'7a-IncomeStatementYear1'!E64*'4-AdditionalInputs'!$C$39),IF('7a-IncomeStatementYear1'!D65&gt;0,-'7a-IncomeStatementYear1'!D65*'4-AdditionalInputs'!$C$39,0))</f>
        <v>0</v>
      </c>
      <c r="F59" s="350">
        <f>+IF(F65&gt;0,IF(E65&lt;0,(F64-ABS(E65))*'4-AdditionalInputs'!$C$39,'7a-IncomeStatementYear1'!F64*'4-AdditionalInputs'!$C$39),IF('7a-IncomeStatementYear1'!E65&gt;0,-'7a-IncomeStatementYear1'!E65*'4-AdditionalInputs'!$C$39,0))</f>
        <v>0</v>
      </c>
      <c r="G59" s="350">
        <f>+IF(G65&gt;0,IF(F65&lt;0,(G64-ABS(F65))*'4-AdditionalInputs'!$C$39,'7a-IncomeStatementYear1'!G64*'4-AdditionalInputs'!$C$39),IF('7a-IncomeStatementYear1'!F65&gt;0,-'7a-IncomeStatementYear1'!F65*'4-AdditionalInputs'!$C$39,0))</f>
        <v>0</v>
      </c>
      <c r="H59" s="350">
        <f>+IF(H65&gt;0,IF(G65&lt;0,(H64-ABS(G65))*'4-AdditionalInputs'!$C$39,'7a-IncomeStatementYear1'!H64*'4-AdditionalInputs'!$C$39),IF('7a-IncomeStatementYear1'!G65&gt;0,-'7a-IncomeStatementYear1'!G65*'4-AdditionalInputs'!$C$39,0))</f>
        <v>0</v>
      </c>
      <c r="I59" s="350">
        <f>+IF(I65&gt;0,IF(H65&lt;0,(I64-ABS(H65))*'4-AdditionalInputs'!$C$39,'7a-IncomeStatementYear1'!I64*'4-AdditionalInputs'!$C$39),IF('7a-IncomeStatementYear1'!H65&gt;0,-'7a-IncomeStatementYear1'!H65*'4-AdditionalInputs'!$C$39,0))</f>
        <v>0</v>
      </c>
      <c r="J59" s="350">
        <f>+IF(J65&gt;0,IF(I65&lt;0,(J64-ABS(I65))*'4-AdditionalInputs'!$C$39,'7a-IncomeStatementYear1'!J64*'4-AdditionalInputs'!$C$39),IF('7a-IncomeStatementYear1'!I65&gt;0,-'7a-IncomeStatementYear1'!I65*'4-AdditionalInputs'!$C$39,0))</f>
        <v>0</v>
      </c>
      <c r="K59" s="350">
        <f>+IF(K65&gt;0,IF(J65&lt;0,(K64-ABS(J65))*'4-AdditionalInputs'!$C$39,'7a-IncomeStatementYear1'!K64*'4-AdditionalInputs'!$C$39),IF('7a-IncomeStatementYear1'!J65&gt;0,-'7a-IncomeStatementYear1'!J65*'4-AdditionalInputs'!$C$39,0))</f>
        <v>0</v>
      </c>
      <c r="L59" s="350">
        <f>+IF(L65&gt;0,IF(K65&lt;0,(L64-ABS(K65))*'4-AdditionalInputs'!$C$39,'7a-IncomeStatementYear1'!L64*'4-AdditionalInputs'!$C$39),IF('7a-IncomeStatementYear1'!K65&gt;0,-'7a-IncomeStatementYear1'!K65*'4-AdditionalInputs'!$C$39,0))</f>
        <v>0</v>
      </c>
      <c r="M59" s="350">
        <f>+IF(M65&gt;0,IF(L65&lt;0,(M64-ABS(L65))*'4-AdditionalInputs'!$C$39,'7a-IncomeStatementYear1'!M64*'4-AdditionalInputs'!$C$39),IF('7a-IncomeStatementYear1'!L65&gt;0,-'7a-IncomeStatementYear1'!L65*'4-AdditionalInputs'!$C$39,0))</f>
        <v>0</v>
      </c>
      <c r="N59" s="350">
        <f>+IF(N65&gt;0,IF(M65&lt;0,(N64-ABS(M65))*'4-AdditionalInputs'!$C$39,'7a-IncomeStatementYear1'!N64*'4-AdditionalInputs'!$C$39),IF('7a-IncomeStatementYear1'!M65&gt;0,-'7a-IncomeStatementYear1'!M65*'4-AdditionalInputs'!$C$39,0))</f>
        <v>0</v>
      </c>
      <c r="O59" s="165">
        <f t="shared" si="8"/>
        <v>0</v>
      </c>
    </row>
    <row r="60" spans="1:15" x14ac:dyDescent="0.35">
      <c r="B60" s="145" t="s">
        <v>208</v>
      </c>
      <c r="C60" s="165">
        <f t="shared" ref="C60:M60" si="11">C58-C59</f>
        <v>0</v>
      </c>
      <c r="D60" s="165">
        <f t="shared" si="11"/>
        <v>0</v>
      </c>
      <c r="E60" s="165">
        <f t="shared" si="11"/>
        <v>0</v>
      </c>
      <c r="F60" s="165">
        <f t="shared" si="11"/>
        <v>0</v>
      </c>
      <c r="G60" s="165">
        <f t="shared" si="11"/>
        <v>0</v>
      </c>
      <c r="H60" s="165">
        <f t="shared" si="11"/>
        <v>0</v>
      </c>
      <c r="I60" s="165">
        <f t="shared" si="11"/>
        <v>0</v>
      </c>
      <c r="J60" s="165">
        <f t="shared" si="11"/>
        <v>0</v>
      </c>
      <c r="K60" s="165">
        <f t="shared" si="11"/>
        <v>0</v>
      </c>
      <c r="L60" s="165">
        <f t="shared" si="11"/>
        <v>0</v>
      </c>
      <c r="M60" s="165">
        <f t="shared" si="11"/>
        <v>0</v>
      </c>
      <c r="N60" s="165">
        <f>N58-N59</f>
        <v>0</v>
      </c>
      <c r="O60" s="165">
        <f>SUM(C60:N60)</f>
        <v>0</v>
      </c>
    </row>
    <row r="63" spans="1:15" x14ac:dyDescent="0.35">
      <c r="A63" s="421"/>
      <c r="B63" s="422" t="s">
        <v>209</v>
      </c>
      <c r="C63" s="423"/>
      <c r="D63" s="423"/>
      <c r="E63" s="423"/>
      <c r="F63" s="423"/>
      <c r="G63" s="423"/>
      <c r="H63" s="423"/>
      <c r="I63" s="423"/>
      <c r="J63" s="423"/>
      <c r="K63" s="423"/>
      <c r="L63" s="423"/>
      <c r="M63" s="423"/>
      <c r="N63" s="423"/>
      <c r="O63" s="421"/>
    </row>
    <row r="64" spans="1:15" x14ac:dyDescent="0.35">
      <c r="A64" s="421"/>
      <c r="B64" s="423" t="s">
        <v>210</v>
      </c>
      <c r="C64" s="424">
        <f>C45-C48-C50-C51-C55</f>
        <v>0</v>
      </c>
      <c r="D64" s="424">
        <f>D45-D48-D50-D51-D55</f>
        <v>0</v>
      </c>
      <c r="E64" s="424">
        <f>E45-E48-E50-E51-E55</f>
        <v>0</v>
      </c>
      <c r="F64" s="424">
        <f>F45-F48-F50-F51-F55</f>
        <v>0</v>
      </c>
      <c r="G64" s="424">
        <f>G45-G48-G50-G51-G55</f>
        <v>0</v>
      </c>
      <c r="H64" s="424">
        <f t="shared" ref="H64:N64" si="12">+H45-H48-H50-H51-H55</f>
        <v>0</v>
      </c>
      <c r="I64" s="424">
        <f t="shared" si="12"/>
        <v>0</v>
      </c>
      <c r="J64" s="424">
        <f t="shared" si="12"/>
        <v>0</v>
      </c>
      <c r="K64" s="424">
        <f t="shared" si="12"/>
        <v>0</v>
      </c>
      <c r="L64" s="424">
        <f t="shared" si="12"/>
        <v>0</v>
      </c>
      <c r="M64" s="424">
        <f t="shared" si="12"/>
        <v>0</v>
      </c>
      <c r="N64" s="424">
        <f t="shared" si="12"/>
        <v>0</v>
      </c>
      <c r="O64" s="421"/>
    </row>
    <row r="65" spans="1:15" x14ac:dyDescent="0.35">
      <c r="A65" s="421"/>
      <c r="B65" s="423" t="s">
        <v>211</v>
      </c>
      <c r="C65" s="424">
        <f>C64</f>
        <v>0</v>
      </c>
      <c r="D65" s="424">
        <f>C65+D64</f>
        <v>0</v>
      </c>
      <c r="E65" s="424">
        <f>D65+E64</f>
        <v>0</v>
      </c>
      <c r="F65" s="424">
        <f>E65+F64</f>
        <v>0</v>
      </c>
      <c r="G65" s="424">
        <f>F65+G64</f>
        <v>0</v>
      </c>
      <c r="H65" s="424">
        <f t="shared" ref="H65:N65" si="13">+G65+H64</f>
        <v>0</v>
      </c>
      <c r="I65" s="424">
        <f t="shared" si="13"/>
        <v>0</v>
      </c>
      <c r="J65" s="424">
        <f t="shared" si="13"/>
        <v>0</v>
      </c>
      <c r="K65" s="424">
        <f t="shared" si="13"/>
        <v>0</v>
      </c>
      <c r="L65" s="424">
        <f t="shared" si="13"/>
        <v>0</v>
      </c>
      <c r="M65" s="424">
        <f t="shared" si="13"/>
        <v>0</v>
      </c>
      <c r="N65" s="424">
        <f t="shared" si="13"/>
        <v>0</v>
      </c>
      <c r="O65" s="421"/>
    </row>
    <row r="66" spans="1:15" x14ac:dyDescent="0.35">
      <c r="A66" s="421"/>
      <c r="B66" s="421"/>
      <c r="C66" s="421"/>
      <c r="D66" s="421"/>
      <c r="E66" s="421"/>
      <c r="F66" s="421"/>
      <c r="G66" s="421"/>
      <c r="H66" s="421"/>
      <c r="I66" s="421"/>
      <c r="J66" s="421"/>
      <c r="K66" s="421"/>
      <c r="L66" s="421"/>
      <c r="M66" s="421"/>
      <c r="N66" s="421"/>
      <c r="O66" s="421"/>
    </row>
    <row r="67" spans="1:15" x14ac:dyDescent="0.35">
      <c r="A67" s="421"/>
      <c r="B67" s="421"/>
      <c r="C67" s="421"/>
      <c r="D67" s="421"/>
      <c r="E67" s="421"/>
      <c r="F67" s="421"/>
      <c r="G67" s="421"/>
      <c r="H67" s="421"/>
      <c r="I67" s="421"/>
      <c r="J67" s="421"/>
      <c r="K67" s="421"/>
      <c r="L67" s="421"/>
      <c r="M67" s="421"/>
      <c r="N67" s="421"/>
      <c r="O67" s="421"/>
    </row>
  </sheetData>
  <sheetProtection password="CC3D" sheet="1" objects="1" scenarios="1" formatCells="0" formatColumns="0"/>
  <mergeCells count="3">
    <mergeCell ref="B2:C2"/>
    <mergeCell ref="C4:D4"/>
    <mergeCell ref="C5:D5"/>
  </mergeCells>
  <conditionalFormatting sqref="C59:N59">
    <cfRule type="containsBlanks" dxfId="26" priority="1">
      <formula>LEN(TRIM(C59))=0</formula>
    </cfRule>
  </conditionalFormatting>
  <printOptions horizontalCentered="1"/>
  <pageMargins left="0.25" right="0.25" top="0.75" bottom="0.75" header="0.3" footer="0.3"/>
  <pageSetup scale="63" orientation="landscape" r:id="rId1"/>
  <headerFooter scaleWithDoc="0">
    <oddHeader>&amp;C&amp;"Gill Sans MT,Regular"&amp;12Income Statement Year 1</oddHeader>
    <oddFooter>&amp;L&amp;F&amp;C&amp;A&amp;R&amp;D &amp;T</oddFooter>
  </headerFooter>
  <rowBreaks count="1" manualBreakCount="1">
    <brk id="60" min="1" max="14"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W82"/>
  <sheetViews>
    <sheetView zoomScale="90" zoomScaleNormal="90" zoomScalePageLayoutView="70" workbookViewId="0">
      <selection activeCell="J32" sqref="J32"/>
    </sheetView>
  </sheetViews>
  <sheetFormatPr defaultColWidth="8.875" defaultRowHeight="15.75" x14ac:dyDescent="0.35"/>
  <cols>
    <col min="1" max="1" width="3.875" style="425" customWidth="1"/>
    <col min="2" max="2" width="46.75" style="431" bestFit="1" customWidth="1"/>
    <col min="3" max="3" width="17.375" style="431" bestFit="1" customWidth="1"/>
    <col min="4" max="4" width="9.25" style="484" customWidth="1"/>
    <col min="5" max="5" width="13.875" style="431" bestFit="1" customWidth="1"/>
    <col min="6" max="6" width="9.25" style="485" customWidth="1"/>
    <col min="7" max="7" width="12.375" style="431" bestFit="1" customWidth="1"/>
    <col min="8" max="8" width="9.75" style="484" bestFit="1" customWidth="1"/>
    <col min="9" max="10" width="9.75" style="425" bestFit="1" customWidth="1"/>
    <col min="11" max="11" width="9.75" style="431" bestFit="1" customWidth="1"/>
    <col min="12" max="14" width="10.125" style="431" bestFit="1" customWidth="1"/>
    <col min="15" max="15" width="11.625" style="431" bestFit="1" customWidth="1"/>
    <col min="16" max="256" width="8.875" style="431"/>
    <col min="257" max="257" width="3.875" style="431" customWidth="1"/>
    <col min="258" max="258" width="46.75" style="431" bestFit="1" customWidth="1"/>
    <col min="259" max="259" width="17.375" style="431" bestFit="1" customWidth="1"/>
    <col min="260" max="260" width="9.25" style="431" customWidth="1"/>
    <col min="261" max="261" width="13.875" style="431" bestFit="1" customWidth="1"/>
    <col min="262" max="262" width="9.25" style="431" customWidth="1"/>
    <col min="263" max="263" width="12.375" style="431" bestFit="1" customWidth="1"/>
    <col min="264" max="267" width="9.75" style="431" bestFit="1" customWidth="1"/>
    <col min="268" max="270" width="10.125" style="431" bestFit="1" customWidth="1"/>
    <col min="271" max="271" width="11.625" style="431" bestFit="1" customWidth="1"/>
    <col min="272" max="512" width="8.875" style="431"/>
    <col min="513" max="513" width="3.875" style="431" customWidth="1"/>
    <col min="514" max="514" width="46.75" style="431" bestFit="1" customWidth="1"/>
    <col min="515" max="515" width="17.375" style="431" bestFit="1" customWidth="1"/>
    <col min="516" max="516" width="9.25" style="431" customWidth="1"/>
    <col min="517" max="517" width="13.875" style="431" bestFit="1" customWidth="1"/>
    <col min="518" max="518" width="9.25" style="431" customWidth="1"/>
    <col min="519" max="519" width="12.375" style="431" bestFit="1" customWidth="1"/>
    <col min="520" max="523" width="9.75" style="431" bestFit="1" customWidth="1"/>
    <col min="524" max="526" width="10.125" style="431" bestFit="1" customWidth="1"/>
    <col min="527" max="527" width="11.625" style="431" bestFit="1" customWidth="1"/>
    <col min="528" max="768" width="8.875" style="431"/>
    <col min="769" max="769" width="3.875" style="431" customWidth="1"/>
    <col min="770" max="770" width="46.75" style="431" bestFit="1" customWidth="1"/>
    <col min="771" max="771" width="17.375" style="431" bestFit="1" customWidth="1"/>
    <col min="772" max="772" width="9.25" style="431" customWidth="1"/>
    <col min="773" max="773" width="13.875" style="431" bestFit="1" customWidth="1"/>
    <col min="774" max="774" width="9.25" style="431" customWidth="1"/>
    <col min="775" max="775" width="12.375" style="431" bestFit="1" customWidth="1"/>
    <col min="776" max="779" width="9.75" style="431" bestFit="1" customWidth="1"/>
    <col min="780" max="782" width="10.125" style="431" bestFit="1" customWidth="1"/>
    <col min="783" max="783" width="11.625" style="431" bestFit="1" customWidth="1"/>
    <col min="784" max="1024" width="8.875" style="431"/>
    <col min="1025" max="1025" width="3.875" style="431" customWidth="1"/>
    <col min="1026" max="1026" width="46.75" style="431" bestFit="1" customWidth="1"/>
    <col min="1027" max="1027" width="17.375" style="431" bestFit="1" customWidth="1"/>
    <col min="1028" max="1028" width="9.25" style="431" customWidth="1"/>
    <col min="1029" max="1029" width="13.875" style="431" bestFit="1" customWidth="1"/>
    <col min="1030" max="1030" width="9.25" style="431" customWidth="1"/>
    <col min="1031" max="1031" width="12.375" style="431" bestFit="1" customWidth="1"/>
    <col min="1032" max="1035" width="9.75" style="431" bestFit="1" customWidth="1"/>
    <col min="1036" max="1038" width="10.125" style="431" bestFit="1" customWidth="1"/>
    <col min="1039" max="1039" width="11.625" style="431" bestFit="1" customWidth="1"/>
    <col min="1040" max="1280" width="8.875" style="431"/>
    <col min="1281" max="1281" width="3.875" style="431" customWidth="1"/>
    <col min="1282" max="1282" width="46.75" style="431" bestFit="1" customWidth="1"/>
    <col min="1283" max="1283" width="17.375" style="431" bestFit="1" customWidth="1"/>
    <col min="1284" max="1284" width="9.25" style="431" customWidth="1"/>
    <col min="1285" max="1285" width="13.875" style="431" bestFit="1" customWidth="1"/>
    <col min="1286" max="1286" width="9.25" style="431" customWidth="1"/>
    <col min="1287" max="1287" width="12.375" style="431" bestFit="1" customWidth="1"/>
    <col min="1288" max="1291" width="9.75" style="431" bestFit="1" customWidth="1"/>
    <col min="1292" max="1294" width="10.125" style="431" bestFit="1" customWidth="1"/>
    <col min="1295" max="1295" width="11.625" style="431" bestFit="1" customWidth="1"/>
    <col min="1296" max="1536" width="8.875" style="431"/>
    <col min="1537" max="1537" width="3.875" style="431" customWidth="1"/>
    <col min="1538" max="1538" width="46.75" style="431" bestFit="1" customWidth="1"/>
    <col min="1539" max="1539" width="17.375" style="431" bestFit="1" customWidth="1"/>
    <col min="1540" max="1540" width="9.25" style="431" customWidth="1"/>
    <col min="1541" max="1541" width="13.875" style="431" bestFit="1" customWidth="1"/>
    <col min="1542" max="1542" width="9.25" style="431" customWidth="1"/>
    <col min="1543" max="1543" width="12.375" style="431" bestFit="1" customWidth="1"/>
    <col min="1544" max="1547" width="9.75" style="431" bestFit="1" customWidth="1"/>
    <col min="1548" max="1550" width="10.125" style="431" bestFit="1" customWidth="1"/>
    <col min="1551" max="1551" width="11.625" style="431" bestFit="1" customWidth="1"/>
    <col min="1552" max="1792" width="8.875" style="431"/>
    <col min="1793" max="1793" width="3.875" style="431" customWidth="1"/>
    <col min="1794" max="1794" width="46.75" style="431" bestFit="1" customWidth="1"/>
    <col min="1795" max="1795" width="17.375" style="431" bestFit="1" customWidth="1"/>
    <col min="1796" max="1796" width="9.25" style="431" customWidth="1"/>
    <col min="1797" max="1797" width="13.875" style="431" bestFit="1" customWidth="1"/>
    <col min="1798" max="1798" width="9.25" style="431" customWidth="1"/>
    <col min="1799" max="1799" width="12.375" style="431" bestFit="1" customWidth="1"/>
    <col min="1800" max="1803" width="9.75" style="431" bestFit="1" customWidth="1"/>
    <col min="1804" max="1806" width="10.125" style="431" bestFit="1" customWidth="1"/>
    <col min="1807" max="1807" width="11.625" style="431" bestFit="1" customWidth="1"/>
    <col min="1808" max="2048" width="8.875" style="431"/>
    <col min="2049" max="2049" width="3.875" style="431" customWidth="1"/>
    <col min="2050" max="2050" width="46.75" style="431" bestFit="1" customWidth="1"/>
    <col min="2051" max="2051" width="17.375" style="431" bestFit="1" customWidth="1"/>
    <col min="2052" max="2052" width="9.25" style="431" customWidth="1"/>
    <col min="2053" max="2053" width="13.875" style="431" bestFit="1" customWidth="1"/>
    <col min="2054" max="2054" width="9.25" style="431" customWidth="1"/>
    <col min="2055" max="2055" width="12.375" style="431" bestFit="1" customWidth="1"/>
    <col min="2056" max="2059" width="9.75" style="431" bestFit="1" customWidth="1"/>
    <col min="2060" max="2062" width="10.125" style="431" bestFit="1" customWidth="1"/>
    <col min="2063" max="2063" width="11.625" style="431" bestFit="1" customWidth="1"/>
    <col min="2064" max="2304" width="8.875" style="431"/>
    <col min="2305" max="2305" width="3.875" style="431" customWidth="1"/>
    <col min="2306" max="2306" width="46.75" style="431" bestFit="1" customWidth="1"/>
    <col min="2307" max="2307" width="17.375" style="431" bestFit="1" customWidth="1"/>
    <col min="2308" max="2308" width="9.25" style="431" customWidth="1"/>
    <col min="2309" max="2309" width="13.875" style="431" bestFit="1" customWidth="1"/>
    <col min="2310" max="2310" width="9.25" style="431" customWidth="1"/>
    <col min="2311" max="2311" width="12.375" style="431" bestFit="1" customWidth="1"/>
    <col min="2312" max="2315" width="9.75" style="431" bestFit="1" customWidth="1"/>
    <col min="2316" max="2318" width="10.125" style="431" bestFit="1" customWidth="1"/>
    <col min="2319" max="2319" width="11.625" style="431" bestFit="1" customWidth="1"/>
    <col min="2320" max="2560" width="8.875" style="431"/>
    <col min="2561" max="2561" width="3.875" style="431" customWidth="1"/>
    <col min="2562" max="2562" width="46.75" style="431" bestFit="1" customWidth="1"/>
    <col min="2563" max="2563" width="17.375" style="431" bestFit="1" customWidth="1"/>
    <col min="2564" max="2564" width="9.25" style="431" customWidth="1"/>
    <col min="2565" max="2565" width="13.875" style="431" bestFit="1" customWidth="1"/>
    <col min="2566" max="2566" width="9.25" style="431" customWidth="1"/>
    <col min="2567" max="2567" width="12.375" style="431" bestFit="1" customWidth="1"/>
    <col min="2568" max="2571" width="9.75" style="431" bestFit="1" customWidth="1"/>
    <col min="2572" max="2574" width="10.125" style="431" bestFit="1" customWidth="1"/>
    <col min="2575" max="2575" width="11.625" style="431" bestFit="1" customWidth="1"/>
    <col min="2576" max="2816" width="8.875" style="431"/>
    <col min="2817" max="2817" width="3.875" style="431" customWidth="1"/>
    <col min="2818" max="2818" width="46.75" style="431" bestFit="1" customWidth="1"/>
    <col min="2819" max="2819" width="17.375" style="431" bestFit="1" customWidth="1"/>
    <col min="2820" max="2820" width="9.25" style="431" customWidth="1"/>
    <col min="2821" max="2821" width="13.875" style="431" bestFit="1" customWidth="1"/>
    <col min="2822" max="2822" width="9.25" style="431" customWidth="1"/>
    <col min="2823" max="2823" width="12.375" style="431" bestFit="1" customWidth="1"/>
    <col min="2824" max="2827" width="9.75" style="431" bestFit="1" customWidth="1"/>
    <col min="2828" max="2830" width="10.125" style="431" bestFit="1" customWidth="1"/>
    <col min="2831" max="2831" width="11.625" style="431" bestFit="1" customWidth="1"/>
    <col min="2832" max="3072" width="8.875" style="431"/>
    <col min="3073" max="3073" width="3.875" style="431" customWidth="1"/>
    <col min="3074" max="3074" width="46.75" style="431" bestFit="1" customWidth="1"/>
    <col min="3075" max="3075" width="17.375" style="431" bestFit="1" customWidth="1"/>
    <col min="3076" max="3076" width="9.25" style="431" customWidth="1"/>
    <col min="3077" max="3077" width="13.875" style="431" bestFit="1" customWidth="1"/>
    <col min="3078" max="3078" width="9.25" style="431" customWidth="1"/>
    <col min="3079" max="3079" width="12.375" style="431" bestFit="1" customWidth="1"/>
    <col min="3080" max="3083" width="9.75" style="431" bestFit="1" customWidth="1"/>
    <col min="3084" max="3086" width="10.125" style="431" bestFit="1" customWidth="1"/>
    <col min="3087" max="3087" width="11.625" style="431" bestFit="1" customWidth="1"/>
    <col min="3088" max="3328" width="8.875" style="431"/>
    <col min="3329" max="3329" width="3.875" style="431" customWidth="1"/>
    <col min="3330" max="3330" width="46.75" style="431" bestFit="1" customWidth="1"/>
    <col min="3331" max="3331" width="17.375" style="431" bestFit="1" customWidth="1"/>
    <col min="3332" max="3332" width="9.25" style="431" customWidth="1"/>
    <col min="3333" max="3333" width="13.875" style="431" bestFit="1" customWidth="1"/>
    <col min="3334" max="3334" width="9.25" style="431" customWidth="1"/>
    <col min="3335" max="3335" width="12.375" style="431" bestFit="1" customWidth="1"/>
    <col min="3336" max="3339" width="9.75" style="431" bestFit="1" customWidth="1"/>
    <col min="3340" max="3342" width="10.125" style="431" bestFit="1" customWidth="1"/>
    <col min="3343" max="3343" width="11.625" style="431" bestFit="1" customWidth="1"/>
    <col min="3344" max="3584" width="8.875" style="431"/>
    <col min="3585" max="3585" width="3.875" style="431" customWidth="1"/>
    <col min="3586" max="3586" width="46.75" style="431" bestFit="1" customWidth="1"/>
    <col min="3587" max="3587" width="17.375" style="431" bestFit="1" customWidth="1"/>
    <col min="3588" max="3588" width="9.25" style="431" customWidth="1"/>
    <col min="3589" max="3589" width="13.875" style="431" bestFit="1" customWidth="1"/>
    <col min="3590" max="3590" width="9.25" style="431" customWidth="1"/>
    <col min="3591" max="3591" width="12.375" style="431" bestFit="1" customWidth="1"/>
    <col min="3592" max="3595" width="9.75" style="431" bestFit="1" customWidth="1"/>
    <col min="3596" max="3598" width="10.125" style="431" bestFit="1" customWidth="1"/>
    <col min="3599" max="3599" width="11.625" style="431" bestFit="1" customWidth="1"/>
    <col min="3600" max="3840" width="8.875" style="431"/>
    <col min="3841" max="3841" width="3.875" style="431" customWidth="1"/>
    <col min="3842" max="3842" width="46.75" style="431" bestFit="1" customWidth="1"/>
    <col min="3843" max="3843" width="17.375" style="431" bestFit="1" customWidth="1"/>
    <col min="3844" max="3844" width="9.25" style="431" customWidth="1"/>
    <col min="3845" max="3845" width="13.875" style="431" bestFit="1" customWidth="1"/>
    <col min="3846" max="3846" width="9.25" style="431" customWidth="1"/>
    <col min="3847" max="3847" width="12.375" style="431" bestFit="1" customWidth="1"/>
    <col min="3848" max="3851" width="9.75" style="431" bestFit="1" customWidth="1"/>
    <col min="3852" max="3854" width="10.125" style="431" bestFit="1" customWidth="1"/>
    <col min="3855" max="3855" width="11.625" style="431" bestFit="1" customWidth="1"/>
    <col min="3856" max="4096" width="8.875" style="431"/>
    <col min="4097" max="4097" width="3.875" style="431" customWidth="1"/>
    <col min="4098" max="4098" width="46.75" style="431" bestFit="1" customWidth="1"/>
    <col min="4099" max="4099" width="17.375" style="431" bestFit="1" customWidth="1"/>
    <col min="4100" max="4100" width="9.25" style="431" customWidth="1"/>
    <col min="4101" max="4101" width="13.875" style="431" bestFit="1" customWidth="1"/>
    <col min="4102" max="4102" width="9.25" style="431" customWidth="1"/>
    <col min="4103" max="4103" width="12.375" style="431" bestFit="1" customWidth="1"/>
    <col min="4104" max="4107" width="9.75" style="431" bestFit="1" customWidth="1"/>
    <col min="4108" max="4110" width="10.125" style="431" bestFit="1" customWidth="1"/>
    <col min="4111" max="4111" width="11.625" style="431" bestFit="1" customWidth="1"/>
    <col min="4112" max="4352" width="8.875" style="431"/>
    <col min="4353" max="4353" width="3.875" style="431" customWidth="1"/>
    <col min="4354" max="4354" width="46.75" style="431" bestFit="1" customWidth="1"/>
    <col min="4355" max="4355" width="17.375" style="431" bestFit="1" customWidth="1"/>
    <col min="4356" max="4356" width="9.25" style="431" customWidth="1"/>
    <col min="4357" max="4357" width="13.875" style="431" bestFit="1" customWidth="1"/>
    <col min="4358" max="4358" width="9.25" style="431" customWidth="1"/>
    <col min="4359" max="4359" width="12.375" style="431" bestFit="1" customWidth="1"/>
    <col min="4360" max="4363" width="9.75" style="431" bestFit="1" customWidth="1"/>
    <col min="4364" max="4366" width="10.125" style="431" bestFit="1" customWidth="1"/>
    <col min="4367" max="4367" width="11.625" style="431" bestFit="1" customWidth="1"/>
    <col min="4368" max="4608" width="8.875" style="431"/>
    <col min="4609" max="4609" width="3.875" style="431" customWidth="1"/>
    <col min="4610" max="4610" width="46.75" style="431" bestFit="1" customWidth="1"/>
    <col min="4611" max="4611" width="17.375" style="431" bestFit="1" customWidth="1"/>
    <col min="4612" max="4612" width="9.25" style="431" customWidth="1"/>
    <col min="4613" max="4613" width="13.875" style="431" bestFit="1" customWidth="1"/>
    <col min="4614" max="4614" width="9.25" style="431" customWidth="1"/>
    <col min="4615" max="4615" width="12.375" style="431" bestFit="1" customWidth="1"/>
    <col min="4616" max="4619" width="9.75" style="431" bestFit="1" customWidth="1"/>
    <col min="4620" max="4622" width="10.125" style="431" bestFit="1" customWidth="1"/>
    <col min="4623" max="4623" width="11.625" style="431" bestFit="1" customWidth="1"/>
    <col min="4624" max="4864" width="8.875" style="431"/>
    <col min="4865" max="4865" width="3.875" style="431" customWidth="1"/>
    <col min="4866" max="4866" width="46.75" style="431" bestFit="1" customWidth="1"/>
    <col min="4867" max="4867" width="17.375" style="431" bestFit="1" customWidth="1"/>
    <col min="4868" max="4868" width="9.25" style="431" customWidth="1"/>
    <col min="4869" max="4869" width="13.875" style="431" bestFit="1" customWidth="1"/>
    <col min="4870" max="4870" width="9.25" style="431" customWidth="1"/>
    <col min="4871" max="4871" width="12.375" style="431" bestFit="1" customWidth="1"/>
    <col min="4872" max="4875" width="9.75" style="431" bestFit="1" customWidth="1"/>
    <col min="4876" max="4878" width="10.125" style="431" bestFit="1" customWidth="1"/>
    <col min="4879" max="4879" width="11.625" style="431" bestFit="1" customWidth="1"/>
    <col min="4880" max="5120" width="8.875" style="431"/>
    <col min="5121" max="5121" width="3.875" style="431" customWidth="1"/>
    <col min="5122" max="5122" width="46.75" style="431" bestFit="1" customWidth="1"/>
    <col min="5123" max="5123" width="17.375" style="431" bestFit="1" customWidth="1"/>
    <col min="5124" max="5124" width="9.25" style="431" customWidth="1"/>
    <col min="5125" max="5125" width="13.875" style="431" bestFit="1" customWidth="1"/>
    <col min="5126" max="5126" width="9.25" style="431" customWidth="1"/>
    <col min="5127" max="5127" width="12.375" style="431" bestFit="1" customWidth="1"/>
    <col min="5128" max="5131" width="9.75" style="431" bestFit="1" customWidth="1"/>
    <col min="5132" max="5134" width="10.125" style="431" bestFit="1" customWidth="1"/>
    <col min="5135" max="5135" width="11.625" style="431" bestFit="1" customWidth="1"/>
    <col min="5136" max="5376" width="8.875" style="431"/>
    <col min="5377" max="5377" width="3.875" style="431" customWidth="1"/>
    <col min="5378" max="5378" width="46.75" style="431" bestFit="1" customWidth="1"/>
    <col min="5379" max="5379" width="17.375" style="431" bestFit="1" customWidth="1"/>
    <col min="5380" max="5380" width="9.25" style="431" customWidth="1"/>
    <col min="5381" max="5381" width="13.875" style="431" bestFit="1" customWidth="1"/>
    <col min="5382" max="5382" width="9.25" style="431" customWidth="1"/>
    <col min="5383" max="5383" width="12.375" style="431" bestFit="1" customWidth="1"/>
    <col min="5384" max="5387" width="9.75" style="431" bestFit="1" customWidth="1"/>
    <col min="5388" max="5390" width="10.125" style="431" bestFit="1" customWidth="1"/>
    <col min="5391" max="5391" width="11.625" style="431" bestFit="1" customWidth="1"/>
    <col min="5392" max="5632" width="8.875" style="431"/>
    <col min="5633" max="5633" width="3.875" style="431" customWidth="1"/>
    <col min="5634" max="5634" width="46.75" style="431" bestFit="1" customWidth="1"/>
    <col min="5635" max="5635" width="17.375" style="431" bestFit="1" customWidth="1"/>
    <col min="5636" max="5636" width="9.25" style="431" customWidth="1"/>
    <col min="5637" max="5637" width="13.875" style="431" bestFit="1" customWidth="1"/>
    <col min="5638" max="5638" width="9.25" style="431" customWidth="1"/>
    <col min="5639" max="5639" width="12.375" style="431" bestFit="1" customWidth="1"/>
    <col min="5640" max="5643" width="9.75" style="431" bestFit="1" customWidth="1"/>
    <col min="5644" max="5646" width="10.125" style="431" bestFit="1" customWidth="1"/>
    <col min="5647" max="5647" width="11.625" style="431" bestFit="1" customWidth="1"/>
    <col min="5648" max="5888" width="8.875" style="431"/>
    <col min="5889" max="5889" width="3.875" style="431" customWidth="1"/>
    <col min="5890" max="5890" width="46.75" style="431" bestFit="1" customWidth="1"/>
    <col min="5891" max="5891" width="17.375" style="431" bestFit="1" customWidth="1"/>
    <col min="5892" max="5892" width="9.25" style="431" customWidth="1"/>
    <col min="5893" max="5893" width="13.875" style="431" bestFit="1" customWidth="1"/>
    <col min="5894" max="5894" width="9.25" style="431" customWidth="1"/>
    <col min="5895" max="5895" width="12.375" style="431" bestFit="1" customWidth="1"/>
    <col min="5896" max="5899" width="9.75" style="431" bestFit="1" customWidth="1"/>
    <col min="5900" max="5902" width="10.125" style="431" bestFit="1" customWidth="1"/>
    <col min="5903" max="5903" width="11.625" style="431" bestFit="1" customWidth="1"/>
    <col min="5904" max="6144" width="8.875" style="431"/>
    <col min="6145" max="6145" width="3.875" style="431" customWidth="1"/>
    <col min="6146" max="6146" width="46.75" style="431" bestFit="1" customWidth="1"/>
    <col min="6147" max="6147" width="17.375" style="431" bestFit="1" customWidth="1"/>
    <col min="6148" max="6148" width="9.25" style="431" customWidth="1"/>
    <col min="6149" max="6149" width="13.875" style="431" bestFit="1" customWidth="1"/>
    <col min="6150" max="6150" width="9.25" style="431" customWidth="1"/>
    <col min="6151" max="6151" width="12.375" style="431" bestFit="1" customWidth="1"/>
    <col min="6152" max="6155" width="9.75" style="431" bestFit="1" customWidth="1"/>
    <col min="6156" max="6158" width="10.125" style="431" bestFit="1" customWidth="1"/>
    <col min="6159" max="6159" width="11.625" style="431" bestFit="1" customWidth="1"/>
    <col min="6160" max="6400" width="8.875" style="431"/>
    <col min="6401" max="6401" width="3.875" style="431" customWidth="1"/>
    <col min="6402" max="6402" width="46.75" style="431" bestFit="1" customWidth="1"/>
    <col min="6403" max="6403" width="17.375" style="431" bestFit="1" customWidth="1"/>
    <col min="6404" max="6404" width="9.25" style="431" customWidth="1"/>
    <col min="6405" max="6405" width="13.875" style="431" bestFit="1" customWidth="1"/>
    <col min="6406" max="6406" width="9.25" style="431" customWidth="1"/>
    <col min="6407" max="6407" width="12.375" style="431" bestFit="1" customWidth="1"/>
    <col min="6408" max="6411" width="9.75" style="431" bestFit="1" customWidth="1"/>
    <col min="6412" max="6414" width="10.125" style="431" bestFit="1" customWidth="1"/>
    <col min="6415" max="6415" width="11.625" style="431" bestFit="1" customWidth="1"/>
    <col min="6416" max="6656" width="8.875" style="431"/>
    <col min="6657" max="6657" width="3.875" style="431" customWidth="1"/>
    <col min="6658" max="6658" width="46.75" style="431" bestFit="1" customWidth="1"/>
    <col min="6659" max="6659" width="17.375" style="431" bestFit="1" customWidth="1"/>
    <col min="6660" max="6660" width="9.25" style="431" customWidth="1"/>
    <col min="6661" max="6661" width="13.875" style="431" bestFit="1" customWidth="1"/>
    <col min="6662" max="6662" width="9.25" style="431" customWidth="1"/>
    <col min="6663" max="6663" width="12.375" style="431" bestFit="1" customWidth="1"/>
    <col min="6664" max="6667" width="9.75" style="431" bestFit="1" customWidth="1"/>
    <col min="6668" max="6670" width="10.125" style="431" bestFit="1" customWidth="1"/>
    <col min="6671" max="6671" width="11.625" style="431" bestFit="1" customWidth="1"/>
    <col min="6672" max="6912" width="8.875" style="431"/>
    <col min="6913" max="6913" width="3.875" style="431" customWidth="1"/>
    <col min="6914" max="6914" width="46.75" style="431" bestFit="1" customWidth="1"/>
    <col min="6915" max="6915" width="17.375" style="431" bestFit="1" customWidth="1"/>
    <col min="6916" max="6916" width="9.25" style="431" customWidth="1"/>
    <col min="6917" max="6917" width="13.875" style="431" bestFit="1" customWidth="1"/>
    <col min="6918" max="6918" width="9.25" style="431" customWidth="1"/>
    <col min="6919" max="6919" width="12.375" style="431" bestFit="1" customWidth="1"/>
    <col min="6920" max="6923" width="9.75" style="431" bestFit="1" customWidth="1"/>
    <col min="6924" max="6926" width="10.125" style="431" bestFit="1" customWidth="1"/>
    <col min="6927" max="6927" width="11.625" style="431" bestFit="1" customWidth="1"/>
    <col min="6928" max="7168" width="8.875" style="431"/>
    <col min="7169" max="7169" width="3.875" style="431" customWidth="1"/>
    <col min="7170" max="7170" width="46.75" style="431" bestFit="1" customWidth="1"/>
    <col min="7171" max="7171" width="17.375" style="431" bestFit="1" customWidth="1"/>
    <col min="7172" max="7172" width="9.25" style="431" customWidth="1"/>
    <col min="7173" max="7173" width="13.875" style="431" bestFit="1" customWidth="1"/>
    <col min="7174" max="7174" width="9.25" style="431" customWidth="1"/>
    <col min="7175" max="7175" width="12.375" style="431" bestFit="1" customWidth="1"/>
    <col min="7176" max="7179" width="9.75" style="431" bestFit="1" customWidth="1"/>
    <col min="7180" max="7182" width="10.125" style="431" bestFit="1" customWidth="1"/>
    <col min="7183" max="7183" width="11.625" style="431" bestFit="1" customWidth="1"/>
    <col min="7184" max="7424" width="8.875" style="431"/>
    <col min="7425" max="7425" width="3.875" style="431" customWidth="1"/>
    <col min="7426" max="7426" width="46.75" style="431" bestFit="1" customWidth="1"/>
    <col min="7427" max="7427" width="17.375" style="431" bestFit="1" customWidth="1"/>
    <col min="7428" max="7428" width="9.25" style="431" customWidth="1"/>
    <col min="7429" max="7429" width="13.875" style="431" bestFit="1" customWidth="1"/>
    <col min="7430" max="7430" width="9.25" style="431" customWidth="1"/>
    <col min="7431" max="7431" width="12.375" style="431" bestFit="1" customWidth="1"/>
    <col min="7432" max="7435" width="9.75" style="431" bestFit="1" customWidth="1"/>
    <col min="7436" max="7438" width="10.125" style="431" bestFit="1" customWidth="1"/>
    <col min="7439" max="7439" width="11.625" style="431" bestFit="1" customWidth="1"/>
    <col min="7440" max="7680" width="8.875" style="431"/>
    <col min="7681" max="7681" width="3.875" style="431" customWidth="1"/>
    <col min="7682" max="7682" width="46.75" style="431" bestFit="1" customWidth="1"/>
    <col min="7683" max="7683" width="17.375" style="431" bestFit="1" customWidth="1"/>
    <col min="7684" max="7684" width="9.25" style="431" customWidth="1"/>
    <col min="7685" max="7685" width="13.875" style="431" bestFit="1" customWidth="1"/>
    <col min="7686" max="7686" width="9.25" style="431" customWidth="1"/>
    <col min="7687" max="7687" width="12.375" style="431" bestFit="1" customWidth="1"/>
    <col min="7688" max="7691" width="9.75" style="431" bestFit="1" customWidth="1"/>
    <col min="7692" max="7694" width="10.125" style="431" bestFit="1" customWidth="1"/>
    <col min="7695" max="7695" width="11.625" style="431" bestFit="1" customWidth="1"/>
    <col min="7696" max="7936" width="8.875" style="431"/>
    <col min="7937" max="7937" width="3.875" style="431" customWidth="1"/>
    <col min="7938" max="7938" width="46.75" style="431" bestFit="1" customWidth="1"/>
    <col min="7939" max="7939" width="17.375" style="431" bestFit="1" customWidth="1"/>
    <col min="7940" max="7940" width="9.25" style="431" customWidth="1"/>
    <col min="7941" max="7941" width="13.875" style="431" bestFit="1" customWidth="1"/>
    <col min="7942" max="7942" width="9.25" style="431" customWidth="1"/>
    <col min="7943" max="7943" width="12.375" style="431" bestFit="1" customWidth="1"/>
    <col min="7944" max="7947" width="9.75" style="431" bestFit="1" customWidth="1"/>
    <col min="7948" max="7950" width="10.125" style="431" bestFit="1" customWidth="1"/>
    <col min="7951" max="7951" width="11.625" style="431" bestFit="1" customWidth="1"/>
    <col min="7952" max="8192" width="8.875" style="431"/>
    <col min="8193" max="8193" width="3.875" style="431" customWidth="1"/>
    <col min="8194" max="8194" width="46.75" style="431" bestFit="1" customWidth="1"/>
    <col min="8195" max="8195" width="17.375" style="431" bestFit="1" customWidth="1"/>
    <col min="8196" max="8196" width="9.25" style="431" customWidth="1"/>
    <col min="8197" max="8197" width="13.875" style="431" bestFit="1" customWidth="1"/>
    <col min="8198" max="8198" width="9.25" style="431" customWidth="1"/>
    <col min="8199" max="8199" width="12.375" style="431" bestFit="1" customWidth="1"/>
    <col min="8200" max="8203" width="9.75" style="431" bestFit="1" customWidth="1"/>
    <col min="8204" max="8206" width="10.125" style="431" bestFit="1" customWidth="1"/>
    <col min="8207" max="8207" width="11.625" style="431" bestFit="1" customWidth="1"/>
    <col min="8208" max="8448" width="8.875" style="431"/>
    <col min="8449" max="8449" width="3.875" style="431" customWidth="1"/>
    <col min="8450" max="8450" width="46.75" style="431" bestFit="1" customWidth="1"/>
    <col min="8451" max="8451" width="17.375" style="431" bestFit="1" customWidth="1"/>
    <col min="8452" max="8452" width="9.25" style="431" customWidth="1"/>
    <col min="8453" max="8453" width="13.875" style="431" bestFit="1" customWidth="1"/>
    <col min="8454" max="8454" width="9.25" style="431" customWidth="1"/>
    <col min="8455" max="8455" width="12.375" style="431" bestFit="1" customWidth="1"/>
    <col min="8456" max="8459" width="9.75" style="431" bestFit="1" customWidth="1"/>
    <col min="8460" max="8462" width="10.125" style="431" bestFit="1" customWidth="1"/>
    <col min="8463" max="8463" width="11.625" style="431" bestFit="1" customWidth="1"/>
    <col min="8464" max="8704" width="8.875" style="431"/>
    <col min="8705" max="8705" width="3.875" style="431" customWidth="1"/>
    <col min="8706" max="8706" width="46.75" style="431" bestFit="1" customWidth="1"/>
    <col min="8707" max="8707" width="17.375" style="431" bestFit="1" customWidth="1"/>
    <col min="8708" max="8708" width="9.25" style="431" customWidth="1"/>
    <col min="8709" max="8709" width="13.875" style="431" bestFit="1" customWidth="1"/>
    <col min="8710" max="8710" width="9.25" style="431" customWidth="1"/>
    <col min="8711" max="8711" width="12.375" style="431" bestFit="1" customWidth="1"/>
    <col min="8712" max="8715" width="9.75" style="431" bestFit="1" customWidth="1"/>
    <col min="8716" max="8718" width="10.125" style="431" bestFit="1" customWidth="1"/>
    <col min="8719" max="8719" width="11.625" style="431" bestFit="1" customWidth="1"/>
    <col min="8720" max="8960" width="8.875" style="431"/>
    <col min="8961" max="8961" width="3.875" style="431" customWidth="1"/>
    <col min="8962" max="8962" width="46.75" style="431" bestFit="1" customWidth="1"/>
    <col min="8963" max="8963" width="17.375" style="431" bestFit="1" customWidth="1"/>
    <col min="8964" max="8964" width="9.25" style="431" customWidth="1"/>
    <col min="8965" max="8965" width="13.875" style="431" bestFit="1" customWidth="1"/>
    <col min="8966" max="8966" width="9.25" style="431" customWidth="1"/>
    <col min="8967" max="8967" width="12.375" style="431" bestFit="1" customWidth="1"/>
    <col min="8968" max="8971" width="9.75" style="431" bestFit="1" customWidth="1"/>
    <col min="8972" max="8974" width="10.125" style="431" bestFit="1" customWidth="1"/>
    <col min="8975" max="8975" width="11.625" style="431" bestFit="1" customWidth="1"/>
    <col min="8976" max="9216" width="8.875" style="431"/>
    <col min="9217" max="9217" width="3.875" style="431" customWidth="1"/>
    <col min="9218" max="9218" width="46.75" style="431" bestFit="1" customWidth="1"/>
    <col min="9219" max="9219" width="17.375" style="431" bestFit="1" customWidth="1"/>
    <col min="9220" max="9220" width="9.25" style="431" customWidth="1"/>
    <col min="9221" max="9221" width="13.875" style="431" bestFit="1" customWidth="1"/>
    <col min="9222" max="9222" width="9.25" style="431" customWidth="1"/>
    <col min="9223" max="9223" width="12.375" style="431" bestFit="1" customWidth="1"/>
    <col min="9224" max="9227" width="9.75" style="431" bestFit="1" customWidth="1"/>
    <col min="9228" max="9230" width="10.125" style="431" bestFit="1" customWidth="1"/>
    <col min="9231" max="9231" width="11.625" style="431" bestFit="1" customWidth="1"/>
    <col min="9232" max="9472" width="8.875" style="431"/>
    <col min="9473" max="9473" width="3.875" style="431" customWidth="1"/>
    <col min="9474" max="9474" width="46.75" style="431" bestFit="1" customWidth="1"/>
    <col min="9475" max="9475" width="17.375" style="431" bestFit="1" customWidth="1"/>
    <col min="9476" max="9476" width="9.25" style="431" customWidth="1"/>
    <col min="9477" max="9477" width="13.875" style="431" bestFit="1" customWidth="1"/>
    <col min="9478" max="9478" width="9.25" style="431" customWidth="1"/>
    <col min="9479" max="9479" width="12.375" style="431" bestFit="1" customWidth="1"/>
    <col min="9480" max="9483" width="9.75" style="431" bestFit="1" customWidth="1"/>
    <col min="9484" max="9486" width="10.125" style="431" bestFit="1" customWidth="1"/>
    <col min="9487" max="9487" width="11.625" style="431" bestFit="1" customWidth="1"/>
    <col min="9488" max="9728" width="8.875" style="431"/>
    <col min="9729" max="9729" width="3.875" style="431" customWidth="1"/>
    <col min="9730" max="9730" width="46.75" style="431" bestFit="1" customWidth="1"/>
    <col min="9731" max="9731" width="17.375" style="431" bestFit="1" customWidth="1"/>
    <col min="9732" max="9732" width="9.25" style="431" customWidth="1"/>
    <col min="9733" max="9733" width="13.875" style="431" bestFit="1" customWidth="1"/>
    <col min="9734" max="9734" width="9.25" style="431" customWidth="1"/>
    <col min="9735" max="9735" width="12.375" style="431" bestFit="1" customWidth="1"/>
    <col min="9736" max="9739" width="9.75" style="431" bestFit="1" customWidth="1"/>
    <col min="9740" max="9742" width="10.125" style="431" bestFit="1" customWidth="1"/>
    <col min="9743" max="9743" width="11.625" style="431" bestFit="1" customWidth="1"/>
    <col min="9744" max="9984" width="8.875" style="431"/>
    <col min="9985" max="9985" width="3.875" style="431" customWidth="1"/>
    <col min="9986" max="9986" width="46.75" style="431" bestFit="1" customWidth="1"/>
    <col min="9987" max="9987" width="17.375" style="431" bestFit="1" customWidth="1"/>
    <col min="9988" max="9988" width="9.25" style="431" customWidth="1"/>
    <col min="9989" max="9989" width="13.875" style="431" bestFit="1" customWidth="1"/>
    <col min="9990" max="9990" width="9.25" style="431" customWidth="1"/>
    <col min="9991" max="9991" width="12.375" style="431" bestFit="1" customWidth="1"/>
    <col min="9992" max="9995" width="9.75" style="431" bestFit="1" customWidth="1"/>
    <col min="9996" max="9998" width="10.125" style="431" bestFit="1" customWidth="1"/>
    <col min="9999" max="9999" width="11.625" style="431" bestFit="1" customWidth="1"/>
    <col min="10000" max="10240" width="8.875" style="431"/>
    <col min="10241" max="10241" width="3.875" style="431" customWidth="1"/>
    <col min="10242" max="10242" width="46.75" style="431" bestFit="1" customWidth="1"/>
    <col min="10243" max="10243" width="17.375" style="431" bestFit="1" customWidth="1"/>
    <col min="10244" max="10244" width="9.25" style="431" customWidth="1"/>
    <col min="10245" max="10245" width="13.875" style="431" bestFit="1" customWidth="1"/>
    <col min="10246" max="10246" width="9.25" style="431" customWidth="1"/>
    <col min="10247" max="10247" width="12.375" style="431" bestFit="1" customWidth="1"/>
    <col min="10248" max="10251" width="9.75" style="431" bestFit="1" customWidth="1"/>
    <col min="10252" max="10254" width="10.125" style="431" bestFit="1" customWidth="1"/>
    <col min="10255" max="10255" width="11.625" style="431" bestFit="1" customWidth="1"/>
    <col min="10256" max="10496" width="8.875" style="431"/>
    <col min="10497" max="10497" width="3.875" style="431" customWidth="1"/>
    <col min="10498" max="10498" width="46.75" style="431" bestFit="1" customWidth="1"/>
    <col min="10499" max="10499" width="17.375" style="431" bestFit="1" customWidth="1"/>
    <col min="10500" max="10500" width="9.25" style="431" customWidth="1"/>
    <col min="10501" max="10501" width="13.875" style="431" bestFit="1" customWidth="1"/>
    <col min="10502" max="10502" width="9.25" style="431" customWidth="1"/>
    <col min="10503" max="10503" width="12.375" style="431" bestFit="1" customWidth="1"/>
    <col min="10504" max="10507" width="9.75" style="431" bestFit="1" customWidth="1"/>
    <col min="10508" max="10510" width="10.125" style="431" bestFit="1" customWidth="1"/>
    <col min="10511" max="10511" width="11.625" style="431" bestFit="1" customWidth="1"/>
    <col min="10512" max="10752" width="8.875" style="431"/>
    <col min="10753" max="10753" width="3.875" style="431" customWidth="1"/>
    <col min="10754" max="10754" width="46.75" style="431" bestFit="1" customWidth="1"/>
    <col min="10755" max="10755" width="17.375" style="431" bestFit="1" customWidth="1"/>
    <col min="10756" max="10756" width="9.25" style="431" customWidth="1"/>
    <col min="10757" max="10757" width="13.875" style="431" bestFit="1" customWidth="1"/>
    <col min="10758" max="10758" width="9.25" style="431" customWidth="1"/>
    <col min="10759" max="10759" width="12.375" style="431" bestFit="1" customWidth="1"/>
    <col min="10760" max="10763" width="9.75" style="431" bestFit="1" customWidth="1"/>
    <col min="10764" max="10766" width="10.125" style="431" bestFit="1" customWidth="1"/>
    <col min="10767" max="10767" width="11.625" style="431" bestFit="1" customWidth="1"/>
    <col min="10768" max="11008" width="8.875" style="431"/>
    <col min="11009" max="11009" width="3.875" style="431" customWidth="1"/>
    <col min="11010" max="11010" width="46.75" style="431" bestFit="1" customWidth="1"/>
    <col min="11011" max="11011" width="17.375" style="431" bestFit="1" customWidth="1"/>
    <col min="11012" max="11012" width="9.25" style="431" customWidth="1"/>
    <col min="11013" max="11013" width="13.875" style="431" bestFit="1" customWidth="1"/>
    <col min="11014" max="11014" width="9.25" style="431" customWidth="1"/>
    <col min="11015" max="11015" width="12.375" style="431" bestFit="1" customWidth="1"/>
    <col min="11016" max="11019" width="9.75" style="431" bestFit="1" customWidth="1"/>
    <col min="11020" max="11022" width="10.125" style="431" bestFit="1" customWidth="1"/>
    <col min="11023" max="11023" width="11.625" style="431" bestFit="1" customWidth="1"/>
    <col min="11024" max="11264" width="8.875" style="431"/>
    <col min="11265" max="11265" width="3.875" style="431" customWidth="1"/>
    <col min="11266" max="11266" width="46.75" style="431" bestFit="1" customWidth="1"/>
    <col min="11267" max="11267" width="17.375" style="431" bestFit="1" customWidth="1"/>
    <col min="11268" max="11268" width="9.25" style="431" customWidth="1"/>
    <col min="11269" max="11269" width="13.875" style="431" bestFit="1" customWidth="1"/>
    <col min="11270" max="11270" width="9.25" style="431" customWidth="1"/>
    <col min="11271" max="11271" width="12.375" style="431" bestFit="1" customWidth="1"/>
    <col min="11272" max="11275" width="9.75" style="431" bestFit="1" customWidth="1"/>
    <col min="11276" max="11278" width="10.125" style="431" bestFit="1" customWidth="1"/>
    <col min="11279" max="11279" width="11.625" style="431" bestFit="1" customWidth="1"/>
    <col min="11280" max="11520" width="8.875" style="431"/>
    <col min="11521" max="11521" width="3.875" style="431" customWidth="1"/>
    <col min="11522" max="11522" width="46.75" style="431" bestFit="1" customWidth="1"/>
    <col min="11523" max="11523" width="17.375" style="431" bestFit="1" customWidth="1"/>
    <col min="11524" max="11524" width="9.25" style="431" customWidth="1"/>
    <col min="11525" max="11525" width="13.875" style="431" bestFit="1" customWidth="1"/>
    <col min="11526" max="11526" width="9.25" style="431" customWidth="1"/>
    <col min="11527" max="11527" width="12.375" style="431" bestFit="1" customWidth="1"/>
    <col min="11528" max="11531" width="9.75" style="431" bestFit="1" customWidth="1"/>
    <col min="11532" max="11534" width="10.125" style="431" bestFit="1" customWidth="1"/>
    <col min="11535" max="11535" width="11.625" style="431" bestFit="1" customWidth="1"/>
    <col min="11536" max="11776" width="8.875" style="431"/>
    <col min="11777" max="11777" width="3.875" style="431" customWidth="1"/>
    <col min="11778" max="11778" width="46.75" style="431" bestFit="1" customWidth="1"/>
    <col min="11779" max="11779" width="17.375" style="431" bestFit="1" customWidth="1"/>
    <col min="11780" max="11780" width="9.25" style="431" customWidth="1"/>
    <col min="11781" max="11781" width="13.875" style="431" bestFit="1" customWidth="1"/>
    <col min="11782" max="11782" width="9.25" style="431" customWidth="1"/>
    <col min="11783" max="11783" width="12.375" style="431" bestFit="1" customWidth="1"/>
    <col min="11784" max="11787" width="9.75" style="431" bestFit="1" customWidth="1"/>
    <col min="11788" max="11790" width="10.125" style="431" bestFit="1" customWidth="1"/>
    <col min="11791" max="11791" width="11.625" style="431" bestFit="1" customWidth="1"/>
    <col min="11792" max="12032" width="8.875" style="431"/>
    <col min="12033" max="12033" width="3.875" style="431" customWidth="1"/>
    <col min="12034" max="12034" width="46.75" style="431" bestFit="1" customWidth="1"/>
    <col min="12035" max="12035" width="17.375" style="431" bestFit="1" customWidth="1"/>
    <col min="12036" max="12036" width="9.25" style="431" customWidth="1"/>
    <col min="12037" max="12037" width="13.875" style="431" bestFit="1" customWidth="1"/>
    <col min="12038" max="12038" width="9.25" style="431" customWidth="1"/>
    <col min="12039" max="12039" width="12.375" style="431" bestFit="1" customWidth="1"/>
    <col min="12040" max="12043" width="9.75" style="431" bestFit="1" customWidth="1"/>
    <col min="12044" max="12046" width="10.125" style="431" bestFit="1" customWidth="1"/>
    <col min="12047" max="12047" width="11.625" style="431" bestFit="1" customWidth="1"/>
    <col min="12048" max="12288" width="8.875" style="431"/>
    <col min="12289" max="12289" width="3.875" style="431" customWidth="1"/>
    <col min="12290" max="12290" width="46.75" style="431" bestFit="1" customWidth="1"/>
    <col min="12291" max="12291" width="17.375" style="431" bestFit="1" customWidth="1"/>
    <col min="12292" max="12292" width="9.25" style="431" customWidth="1"/>
    <col min="12293" max="12293" width="13.875" style="431" bestFit="1" customWidth="1"/>
    <col min="12294" max="12294" width="9.25" style="431" customWidth="1"/>
    <col min="12295" max="12295" width="12.375" style="431" bestFit="1" customWidth="1"/>
    <col min="12296" max="12299" width="9.75" style="431" bestFit="1" customWidth="1"/>
    <col min="12300" max="12302" width="10.125" style="431" bestFit="1" customWidth="1"/>
    <col min="12303" max="12303" width="11.625" style="431" bestFit="1" customWidth="1"/>
    <col min="12304" max="12544" width="8.875" style="431"/>
    <col min="12545" max="12545" width="3.875" style="431" customWidth="1"/>
    <col min="12546" max="12546" width="46.75" style="431" bestFit="1" customWidth="1"/>
    <col min="12547" max="12547" width="17.375" style="431" bestFit="1" customWidth="1"/>
    <col min="12548" max="12548" width="9.25" style="431" customWidth="1"/>
    <col min="12549" max="12549" width="13.875" style="431" bestFit="1" customWidth="1"/>
    <col min="12550" max="12550" width="9.25" style="431" customWidth="1"/>
    <col min="12551" max="12551" width="12.375" style="431" bestFit="1" customWidth="1"/>
    <col min="12552" max="12555" width="9.75" style="431" bestFit="1" customWidth="1"/>
    <col min="12556" max="12558" width="10.125" style="431" bestFit="1" customWidth="1"/>
    <col min="12559" max="12559" width="11.625" style="431" bestFit="1" customWidth="1"/>
    <col min="12560" max="12800" width="8.875" style="431"/>
    <col min="12801" max="12801" width="3.875" style="431" customWidth="1"/>
    <col min="12802" max="12802" width="46.75" style="431" bestFit="1" customWidth="1"/>
    <col min="12803" max="12803" width="17.375" style="431" bestFit="1" customWidth="1"/>
    <col min="12804" max="12804" width="9.25" style="431" customWidth="1"/>
    <col min="12805" max="12805" width="13.875" style="431" bestFit="1" customWidth="1"/>
    <col min="12806" max="12806" width="9.25" style="431" customWidth="1"/>
    <col min="12807" max="12807" width="12.375" style="431" bestFit="1" customWidth="1"/>
    <col min="12808" max="12811" width="9.75" style="431" bestFit="1" customWidth="1"/>
    <col min="12812" max="12814" width="10.125" style="431" bestFit="1" customWidth="1"/>
    <col min="12815" max="12815" width="11.625" style="431" bestFit="1" customWidth="1"/>
    <col min="12816" max="13056" width="8.875" style="431"/>
    <col min="13057" max="13057" width="3.875" style="431" customWidth="1"/>
    <col min="13058" max="13058" width="46.75" style="431" bestFit="1" customWidth="1"/>
    <col min="13059" max="13059" width="17.375" style="431" bestFit="1" customWidth="1"/>
    <col min="13060" max="13060" width="9.25" style="431" customWidth="1"/>
    <col min="13061" max="13061" width="13.875" style="431" bestFit="1" customWidth="1"/>
    <col min="13062" max="13062" width="9.25" style="431" customWidth="1"/>
    <col min="13063" max="13063" width="12.375" style="431" bestFit="1" customWidth="1"/>
    <col min="13064" max="13067" width="9.75" style="431" bestFit="1" customWidth="1"/>
    <col min="13068" max="13070" width="10.125" style="431" bestFit="1" customWidth="1"/>
    <col min="13071" max="13071" width="11.625" style="431" bestFit="1" customWidth="1"/>
    <col min="13072" max="13312" width="8.875" style="431"/>
    <col min="13313" max="13313" width="3.875" style="431" customWidth="1"/>
    <col min="13314" max="13314" width="46.75" style="431" bestFit="1" customWidth="1"/>
    <col min="13315" max="13315" width="17.375" style="431" bestFit="1" customWidth="1"/>
    <col min="13316" max="13316" width="9.25" style="431" customWidth="1"/>
    <col min="13317" max="13317" width="13.875" style="431" bestFit="1" customWidth="1"/>
    <col min="13318" max="13318" width="9.25" style="431" customWidth="1"/>
    <col min="13319" max="13319" width="12.375" style="431" bestFit="1" customWidth="1"/>
    <col min="13320" max="13323" width="9.75" style="431" bestFit="1" customWidth="1"/>
    <col min="13324" max="13326" width="10.125" style="431" bestFit="1" customWidth="1"/>
    <col min="13327" max="13327" width="11.625" style="431" bestFit="1" customWidth="1"/>
    <col min="13328" max="13568" width="8.875" style="431"/>
    <col min="13569" max="13569" width="3.875" style="431" customWidth="1"/>
    <col min="13570" max="13570" width="46.75" style="431" bestFit="1" customWidth="1"/>
    <col min="13571" max="13571" width="17.375" style="431" bestFit="1" customWidth="1"/>
    <col min="13572" max="13572" width="9.25" style="431" customWidth="1"/>
    <col min="13573" max="13573" width="13.875" style="431" bestFit="1" customWidth="1"/>
    <col min="13574" max="13574" width="9.25" style="431" customWidth="1"/>
    <col min="13575" max="13575" width="12.375" style="431" bestFit="1" customWidth="1"/>
    <col min="13576" max="13579" width="9.75" style="431" bestFit="1" customWidth="1"/>
    <col min="13580" max="13582" width="10.125" style="431" bestFit="1" customWidth="1"/>
    <col min="13583" max="13583" width="11.625" style="431" bestFit="1" customWidth="1"/>
    <col min="13584" max="13824" width="8.875" style="431"/>
    <col min="13825" max="13825" width="3.875" style="431" customWidth="1"/>
    <col min="13826" max="13826" width="46.75" style="431" bestFit="1" customWidth="1"/>
    <col min="13827" max="13827" width="17.375" style="431" bestFit="1" customWidth="1"/>
    <col min="13828" max="13828" width="9.25" style="431" customWidth="1"/>
    <col min="13829" max="13829" width="13.875" style="431" bestFit="1" customWidth="1"/>
    <col min="13830" max="13830" width="9.25" style="431" customWidth="1"/>
    <col min="13831" max="13831" width="12.375" style="431" bestFit="1" customWidth="1"/>
    <col min="13832" max="13835" width="9.75" style="431" bestFit="1" customWidth="1"/>
    <col min="13836" max="13838" width="10.125" style="431" bestFit="1" customWidth="1"/>
    <col min="13839" max="13839" width="11.625" style="431" bestFit="1" customWidth="1"/>
    <col min="13840" max="14080" width="8.875" style="431"/>
    <col min="14081" max="14081" width="3.875" style="431" customWidth="1"/>
    <col min="14082" max="14082" width="46.75" style="431" bestFit="1" customWidth="1"/>
    <col min="14083" max="14083" width="17.375" style="431" bestFit="1" customWidth="1"/>
    <col min="14084" max="14084" width="9.25" style="431" customWidth="1"/>
    <col min="14085" max="14085" width="13.875" style="431" bestFit="1" customWidth="1"/>
    <col min="14086" max="14086" width="9.25" style="431" customWidth="1"/>
    <col min="14087" max="14087" width="12.375" style="431" bestFit="1" customWidth="1"/>
    <col min="14088" max="14091" width="9.75" style="431" bestFit="1" customWidth="1"/>
    <col min="14092" max="14094" width="10.125" style="431" bestFit="1" customWidth="1"/>
    <col min="14095" max="14095" width="11.625" style="431" bestFit="1" customWidth="1"/>
    <col min="14096" max="14336" width="8.875" style="431"/>
    <col min="14337" max="14337" width="3.875" style="431" customWidth="1"/>
    <col min="14338" max="14338" width="46.75" style="431" bestFit="1" customWidth="1"/>
    <col min="14339" max="14339" width="17.375" style="431" bestFit="1" customWidth="1"/>
    <col min="14340" max="14340" width="9.25" style="431" customWidth="1"/>
    <col min="14341" max="14341" width="13.875" style="431" bestFit="1" customWidth="1"/>
    <col min="14342" max="14342" width="9.25" style="431" customWidth="1"/>
    <col min="14343" max="14343" width="12.375" style="431" bestFit="1" customWidth="1"/>
    <col min="14344" max="14347" width="9.75" style="431" bestFit="1" customWidth="1"/>
    <col min="14348" max="14350" width="10.125" style="431" bestFit="1" customWidth="1"/>
    <col min="14351" max="14351" width="11.625" style="431" bestFit="1" customWidth="1"/>
    <col min="14352" max="14592" width="8.875" style="431"/>
    <col min="14593" max="14593" width="3.875" style="431" customWidth="1"/>
    <col min="14594" max="14594" width="46.75" style="431" bestFit="1" customWidth="1"/>
    <col min="14595" max="14595" width="17.375" style="431" bestFit="1" customWidth="1"/>
    <col min="14596" max="14596" width="9.25" style="431" customWidth="1"/>
    <col min="14597" max="14597" width="13.875" style="431" bestFit="1" customWidth="1"/>
    <col min="14598" max="14598" width="9.25" style="431" customWidth="1"/>
    <col min="14599" max="14599" width="12.375" style="431" bestFit="1" customWidth="1"/>
    <col min="14600" max="14603" width="9.75" style="431" bestFit="1" customWidth="1"/>
    <col min="14604" max="14606" width="10.125" style="431" bestFit="1" customWidth="1"/>
    <col min="14607" max="14607" width="11.625" style="431" bestFit="1" customWidth="1"/>
    <col min="14608" max="14848" width="8.875" style="431"/>
    <col min="14849" max="14849" width="3.875" style="431" customWidth="1"/>
    <col min="14850" max="14850" width="46.75" style="431" bestFit="1" customWidth="1"/>
    <col min="14851" max="14851" width="17.375" style="431" bestFit="1" customWidth="1"/>
    <col min="14852" max="14852" width="9.25" style="431" customWidth="1"/>
    <col min="14853" max="14853" width="13.875" style="431" bestFit="1" customWidth="1"/>
    <col min="14854" max="14854" width="9.25" style="431" customWidth="1"/>
    <col min="14855" max="14855" width="12.375" style="431" bestFit="1" customWidth="1"/>
    <col min="14856" max="14859" width="9.75" style="431" bestFit="1" customWidth="1"/>
    <col min="14860" max="14862" width="10.125" style="431" bestFit="1" customWidth="1"/>
    <col min="14863" max="14863" width="11.625" style="431" bestFit="1" customWidth="1"/>
    <col min="14864" max="15104" width="8.875" style="431"/>
    <col min="15105" max="15105" width="3.875" style="431" customWidth="1"/>
    <col min="15106" max="15106" width="46.75" style="431" bestFit="1" customWidth="1"/>
    <col min="15107" max="15107" width="17.375" style="431" bestFit="1" customWidth="1"/>
    <col min="15108" max="15108" width="9.25" style="431" customWidth="1"/>
    <col min="15109" max="15109" width="13.875" style="431" bestFit="1" customWidth="1"/>
    <col min="15110" max="15110" width="9.25" style="431" customWidth="1"/>
    <col min="15111" max="15111" width="12.375" style="431" bestFit="1" customWidth="1"/>
    <col min="15112" max="15115" width="9.75" style="431" bestFit="1" customWidth="1"/>
    <col min="15116" max="15118" width="10.125" style="431" bestFit="1" customWidth="1"/>
    <col min="15119" max="15119" width="11.625" style="431" bestFit="1" customWidth="1"/>
    <col min="15120" max="15360" width="8.875" style="431"/>
    <col min="15361" max="15361" width="3.875" style="431" customWidth="1"/>
    <col min="15362" max="15362" width="46.75" style="431" bestFit="1" customWidth="1"/>
    <col min="15363" max="15363" width="17.375" style="431" bestFit="1" customWidth="1"/>
    <col min="15364" max="15364" width="9.25" style="431" customWidth="1"/>
    <col min="15365" max="15365" width="13.875" style="431" bestFit="1" customWidth="1"/>
    <col min="15366" max="15366" width="9.25" style="431" customWidth="1"/>
    <col min="15367" max="15367" width="12.375" style="431" bestFit="1" customWidth="1"/>
    <col min="15368" max="15371" width="9.75" style="431" bestFit="1" customWidth="1"/>
    <col min="15372" max="15374" width="10.125" style="431" bestFit="1" customWidth="1"/>
    <col min="15375" max="15375" width="11.625" style="431" bestFit="1" customWidth="1"/>
    <col min="15376" max="15616" width="8.875" style="431"/>
    <col min="15617" max="15617" width="3.875" style="431" customWidth="1"/>
    <col min="15618" max="15618" width="46.75" style="431" bestFit="1" customWidth="1"/>
    <col min="15619" max="15619" width="17.375" style="431" bestFit="1" customWidth="1"/>
    <col min="15620" max="15620" width="9.25" style="431" customWidth="1"/>
    <col min="15621" max="15621" width="13.875" style="431" bestFit="1" customWidth="1"/>
    <col min="15622" max="15622" width="9.25" style="431" customWidth="1"/>
    <col min="15623" max="15623" width="12.375" style="431" bestFit="1" customWidth="1"/>
    <col min="15624" max="15627" width="9.75" style="431" bestFit="1" customWidth="1"/>
    <col min="15628" max="15630" width="10.125" style="431" bestFit="1" customWidth="1"/>
    <col min="15631" max="15631" width="11.625" style="431" bestFit="1" customWidth="1"/>
    <col min="15632" max="15872" width="8.875" style="431"/>
    <col min="15873" max="15873" width="3.875" style="431" customWidth="1"/>
    <col min="15874" max="15874" width="46.75" style="431" bestFit="1" customWidth="1"/>
    <col min="15875" max="15875" width="17.375" style="431" bestFit="1" customWidth="1"/>
    <col min="15876" max="15876" width="9.25" style="431" customWidth="1"/>
    <col min="15877" max="15877" width="13.875" style="431" bestFit="1" customWidth="1"/>
    <col min="15878" max="15878" width="9.25" style="431" customWidth="1"/>
    <col min="15879" max="15879" width="12.375" style="431" bestFit="1" customWidth="1"/>
    <col min="15880" max="15883" width="9.75" style="431" bestFit="1" customWidth="1"/>
    <col min="15884" max="15886" width="10.125" style="431" bestFit="1" customWidth="1"/>
    <col min="15887" max="15887" width="11.625" style="431" bestFit="1" customWidth="1"/>
    <col min="15888" max="16128" width="8.875" style="431"/>
    <col min="16129" max="16129" width="3.875" style="431" customWidth="1"/>
    <col min="16130" max="16130" width="46.75" style="431" bestFit="1" customWidth="1"/>
    <col min="16131" max="16131" width="17.375" style="431" bestFit="1" customWidth="1"/>
    <col min="16132" max="16132" width="9.25" style="431" customWidth="1"/>
    <col min="16133" max="16133" width="13.875" style="431" bestFit="1" customWidth="1"/>
    <col min="16134" max="16134" width="9.25" style="431" customWidth="1"/>
    <col min="16135" max="16135" width="12.375" style="431" bestFit="1" customWidth="1"/>
    <col min="16136" max="16139" width="9.75" style="431" bestFit="1" customWidth="1"/>
    <col min="16140" max="16142" width="10.125" style="431" bestFit="1" customWidth="1"/>
    <col min="16143" max="16143" width="11.625" style="431" bestFit="1" customWidth="1"/>
    <col min="16144" max="16384" width="8.875" style="431"/>
  </cols>
  <sheetData>
    <row r="1" spans="2:11" s="425" customFormat="1" x14ac:dyDescent="0.35">
      <c r="D1" s="426"/>
      <c r="F1" s="427"/>
      <c r="H1" s="426"/>
      <c r="I1" s="118"/>
      <c r="J1" s="118"/>
    </row>
    <row r="2" spans="2:11" s="431" customFormat="1" x14ac:dyDescent="0.35">
      <c r="B2" s="401" t="s">
        <v>212</v>
      </c>
      <c r="C2" s="401"/>
      <c r="D2" s="428"/>
      <c r="E2" s="291"/>
      <c r="F2" s="429"/>
      <c r="G2" s="291"/>
      <c r="H2" s="428"/>
      <c r="I2" s="430"/>
      <c r="J2" s="430"/>
      <c r="K2" s="430"/>
    </row>
    <row r="3" spans="2:11" s="431" customFormat="1" x14ac:dyDescent="0.35">
      <c r="B3" s="432"/>
      <c r="C3" s="432"/>
      <c r="D3" s="428"/>
      <c r="E3" s="291"/>
      <c r="F3" s="429"/>
      <c r="G3" s="291"/>
      <c r="H3" s="428"/>
      <c r="I3" s="430"/>
      <c r="J3" s="430"/>
      <c r="K3" s="430"/>
    </row>
    <row r="4" spans="2:11" s="431" customFormat="1" ht="19.5" customHeight="1" x14ac:dyDescent="0.35">
      <c r="B4" s="404" t="s">
        <v>7</v>
      </c>
      <c r="C4" s="404" t="s">
        <v>8</v>
      </c>
      <c r="D4" s="433"/>
      <c r="E4" s="404"/>
      <c r="F4" s="434"/>
      <c r="G4" s="291"/>
      <c r="H4" s="433"/>
      <c r="I4" s="118"/>
      <c r="J4" s="118"/>
    </row>
    <row r="5" spans="2:11" s="431" customFormat="1" ht="18.75" customHeight="1" x14ac:dyDescent="0.35">
      <c r="B5" s="406" t="str">
        <f>IF(ISBLANK(Directions!C6), "Owner", Directions!C6)</f>
        <v>Owner</v>
      </c>
      <c r="C5" s="406" t="str">
        <f>IF(ISBLANK(Directions!D6), "Company 1", Directions!D6)</f>
        <v>Company 1</v>
      </c>
      <c r="D5" s="435"/>
      <c r="E5" s="406"/>
      <c r="F5" s="436"/>
      <c r="G5" s="291"/>
      <c r="H5" s="435"/>
      <c r="I5" s="118"/>
      <c r="J5" s="118"/>
    </row>
    <row r="6" spans="2:11" s="425" customFormat="1" x14ac:dyDescent="0.35">
      <c r="D6" s="426"/>
      <c r="F6" s="427"/>
      <c r="H6" s="426"/>
      <c r="I6" s="118"/>
      <c r="J6" s="118"/>
    </row>
    <row r="7" spans="2:11" s="431" customFormat="1" ht="16.5" thickBot="1" x14ac:dyDescent="0.4">
      <c r="B7" s="129" t="s">
        <v>197</v>
      </c>
      <c r="C7" s="178" t="str">
        <f>IF(Directions!F6&gt;0,Directions!F6,"First Year")</f>
        <v>First Year</v>
      </c>
      <c r="D7" s="178"/>
      <c r="E7" s="178" t="str">
        <f>IF(Directions!F6&gt;0,Directions!F6+1,"Second Year")</f>
        <v>Second Year</v>
      </c>
      <c r="F7" s="178"/>
      <c r="G7" s="178" t="str">
        <f>IF(Directions!F6&gt;0,Directions!F6+2,"Third Year")</f>
        <v>Third Year</v>
      </c>
      <c r="H7" s="178"/>
      <c r="I7" s="118"/>
      <c r="J7" s="118"/>
    </row>
    <row r="8" spans="2:11" s="431" customFormat="1" ht="16.5" thickTop="1" x14ac:dyDescent="0.35">
      <c r="B8" s="437" t="str">
        <f>'3a-SalesForecastYear1'!B17</f>
        <v>Product 1</v>
      </c>
      <c r="C8" s="438">
        <f>'3b-SalesForecastYrs1-3'!B13</f>
        <v>0</v>
      </c>
      <c r="D8" s="439"/>
      <c r="E8" s="438">
        <f>'3b-SalesForecastYrs1-3'!O13</f>
        <v>0</v>
      </c>
      <c r="F8" s="440"/>
      <c r="G8" s="438">
        <f>'3b-SalesForecastYrs1-3'!AD13</f>
        <v>0</v>
      </c>
      <c r="H8" s="439"/>
      <c r="I8" s="118"/>
      <c r="J8" s="118"/>
    </row>
    <row r="9" spans="2:11" s="431" customFormat="1" x14ac:dyDescent="0.35">
      <c r="B9" s="441" t="str">
        <f>'3a-SalesForecastYear1'!B23</f>
        <v>Product 2</v>
      </c>
      <c r="C9" s="442">
        <f>'3b-SalesForecastYrs1-3'!B19</f>
        <v>0</v>
      </c>
      <c r="D9" s="443"/>
      <c r="E9" s="442">
        <f>'3b-SalesForecastYrs1-3'!O19</f>
        <v>0</v>
      </c>
      <c r="F9" s="444"/>
      <c r="G9" s="442">
        <f>'3b-SalesForecastYrs1-3'!AD19</f>
        <v>0</v>
      </c>
      <c r="H9" s="443"/>
      <c r="I9" s="118"/>
      <c r="J9" s="118"/>
    </row>
    <row r="10" spans="2:11" s="431" customFormat="1" x14ac:dyDescent="0.35">
      <c r="B10" s="408" t="str">
        <f>'3a-SalesForecastYear1'!B29</f>
        <v>Product 3</v>
      </c>
      <c r="C10" s="442">
        <f>'3b-SalesForecastYrs1-3'!B25</f>
        <v>0</v>
      </c>
      <c r="D10" s="445"/>
      <c r="E10" s="442">
        <f>'3b-SalesForecastYrs1-3'!O25</f>
        <v>0</v>
      </c>
      <c r="F10" s="446"/>
      <c r="G10" s="442">
        <f>'3b-SalesForecastYrs1-3'!AD25</f>
        <v>0</v>
      </c>
      <c r="H10" s="445"/>
      <c r="I10" s="118"/>
      <c r="J10" s="118"/>
    </row>
    <row r="11" spans="2:11" s="431" customFormat="1" x14ac:dyDescent="0.35">
      <c r="B11" s="441" t="str">
        <f>'3a-SalesForecastYear1'!B35</f>
        <v>Product 4</v>
      </c>
      <c r="C11" s="442">
        <f>'3b-SalesForecastYrs1-3'!B31</f>
        <v>0</v>
      </c>
      <c r="D11" s="445"/>
      <c r="E11" s="442">
        <f>'3b-SalesForecastYrs1-3'!O31</f>
        <v>0</v>
      </c>
      <c r="F11" s="446"/>
      <c r="G11" s="442">
        <f>'3b-SalesForecastYrs1-3'!AD31</f>
        <v>0</v>
      </c>
      <c r="H11" s="445"/>
      <c r="I11" s="118"/>
      <c r="J11" s="118"/>
    </row>
    <row r="12" spans="2:11" s="431" customFormat="1" x14ac:dyDescent="0.35">
      <c r="B12" s="441" t="str">
        <f>'3a-SalesForecastYear1'!B41</f>
        <v>Product 5</v>
      </c>
      <c r="C12" s="442">
        <f>'3b-SalesForecastYrs1-3'!B37</f>
        <v>0</v>
      </c>
      <c r="D12" s="445"/>
      <c r="E12" s="442">
        <f>'3b-SalesForecastYrs1-3'!O37</f>
        <v>0</v>
      </c>
      <c r="F12" s="446"/>
      <c r="G12" s="442">
        <f>'3b-SalesForecastYrs1-3'!AD37</f>
        <v>0</v>
      </c>
      <c r="H12" s="445"/>
      <c r="I12" s="118"/>
      <c r="J12" s="118"/>
    </row>
    <row r="13" spans="2:11" s="431" customFormat="1" x14ac:dyDescent="0.35">
      <c r="B13" s="441" t="str">
        <f>'3a-SalesForecastYear1'!B47</f>
        <v>Product 6</v>
      </c>
      <c r="C13" s="442">
        <f>'3b-SalesForecastYrs1-3'!B43</f>
        <v>0</v>
      </c>
      <c r="D13" s="445"/>
      <c r="E13" s="442">
        <f>'3b-SalesForecastYrs1-3'!O43</f>
        <v>0</v>
      </c>
      <c r="F13" s="446"/>
      <c r="G13" s="442">
        <f>'3b-SalesForecastYrs1-3'!AD43</f>
        <v>0</v>
      </c>
      <c r="H13" s="445"/>
      <c r="I13" s="118"/>
      <c r="J13" s="118"/>
    </row>
    <row r="14" spans="2:11" s="431" customFormat="1" x14ac:dyDescent="0.35">
      <c r="B14" s="447" t="s">
        <v>198</v>
      </c>
      <c r="C14" s="397">
        <f>SUM(C8:C13)</f>
        <v>0</v>
      </c>
      <c r="D14" s="448">
        <v>1</v>
      </c>
      <c r="E14" s="397">
        <f>SUM(E8:E13)</f>
        <v>0</v>
      </c>
      <c r="F14" s="449">
        <v>1</v>
      </c>
      <c r="G14" s="397">
        <f>SUM(G8:G13)</f>
        <v>0</v>
      </c>
      <c r="H14" s="448">
        <v>1</v>
      </c>
      <c r="I14" s="118"/>
      <c r="J14" s="118"/>
    </row>
    <row r="15" spans="2:11" s="431" customFormat="1" ht="16.5" thickBot="1" x14ac:dyDescent="0.4">
      <c r="B15" s="129" t="s">
        <v>178</v>
      </c>
      <c r="C15" s="129"/>
      <c r="D15" s="129"/>
      <c r="E15" s="129"/>
      <c r="F15" s="129"/>
      <c r="G15" s="129"/>
      <c r="H15" s="129"/>
      <c r="I15" s="118"/>
      <c r="J15" s="118"/>
    </row>
    <row r="16" spans="2:11" s="431" customFormat="1" ht="16.5" thickTop="1" x14ac:dyDescent="0.35">
      <c r="B16" s="437" t="str">
        <f>'3a-SalesForecastYear1'!B17</f>
        <v>Product 1</v>
      </c>
      <c r="C16" s="438">
        <f>'3b-SalesForecastYrs1-3'!B14</f>
        <v>0</v>
      </c>
      <c r="D16" s="439"/>
      <c r="E16" s="438">
        <f>'3b-SalesForecastYrs1-3'!O14</f>
        <v>0</v>
      </c>
      <c r="F16" s="450"/>
      <c r="G16" s="438">
        <f>'3b-SalesForecastYrs1-3'!AD14</f>
        <v>0</v>
      </c>
      <c r="H16" s="439"/>
      <c r="I16" s="118"/>
      <c r="J16" s="118"/>
    </row>
    <row r="17" spans="1:10" x14ac:dyDescent="0.35">
      <c r="A17" s="431"/>
      <c r="B17" s="441" t="str">
        <f>'3a-SalesForecastYear1'!B23</f>
        <v>Product 2</v>
      </c>
      <c r="C17" s="442">
        <f>'3b-SalesForecastYrs1-3'!B20</f>
        <v>0</v>
      </c>
      <c r="D17" s="445"/>
      <c r="E17" s="442">
        <f>'3b-SalesForecastYrs1-3'!O20</f>
        <v>0</v>
      </c>
      <c r="F17" s="451"/>
      <c r="G17" s="442">
        <f>'3b-SalesForecastYrs1-3'!AD20</f>
        <v>0</v>
      </c>
      <c r="H17" s="445"/>
      <c r="I17" s="118"/>
      <c r="J17" s="118"/>
    </row>
    <row r="18" spans="1:10" x14ac:dyDescent="0.35">
      <c r="A18" s="431"/>
      <c r="B18" s="408" t="str">
        <f>'3a-SalesForecastYear1'!B29</f>
        <v>Product 3</v>
      </c>
      <c r="C18" s="442">
        <f>'3b-SalesForecastYrs1-3'!B26</f>
        <v>0</v>
      </c>
      <c r="D18" s="445"/>
      <c r="E18" s="442">
        <f>'3b-SalesForecastYrs1-3'!O26</f>
        <v>0</v>
      </c>
      <c r="F18" s="451"/>
      <c r="G18" s="442">
        <f>'3b-SalesForecastYrs1-3'!AD26</f>
        <v>0</v>
      </c>
      <c r="H18" s="445"/>
      <c r="I18" s="118"/>
      <c r="J18" s="118"/>
    </row>
    <row r="19" spans="1:10" x14ac:dyDescent="0.35">
      <c r="A19" s="431"/>
      <c r="B19" s="441" t="str">
        <f>'3a-SalesForecastYear1'!B35</f>
        <v>Product 4</v>
      </c>
      <c r="C19" s="442">
        <f>'3b-SalesForecastYrs1-3'!B32</f>
        <v>0</v>
      </c>
      <c r="D19" s="445"/>
      <c r="E19" s="442">
        <f>'3b-SalesForecastYrs1-3'!O32</f>
        <v>0</v>
      </c>
      <c r="F19" s="451"/>
      <c r="G19" s="442">
        <f>'3b-SalesForecastYrs1-3'!AD32</f>
        <v>0</v>
      </c>
      <c r="H19" s="445"/>
      <c r="I19" s="118"/>
      <c r="J19" s="118"/>
    </row>
    <row r="20" spans="1:10" x14ac:dyDescent="0.35">
      <c r="A20" s="431"/>
      <c r="B20" s="441" t="str">
        <f>'3a-SalesForecastYear1'!B41</f>
        <v>Product 5</v>
      </c>
      <c r="C20" s="442">
        <f>'3b-SalesForecastYrs1-3'!B38</f>
        <v>0</v>
      </c>
      <c r="D20" s="445"/>
      <c r="E20" s="442">
        <f>'3b-SalesForecastYrs1-3'!O38</f>
        <v>0</v>
      </c>
      <c r="F20" s="451"/>
      <c r="G20" s="442">
        <f>'3b-SalesForecastYrs1-3'!AD38</f>
        <v>0</v>
      </c>
      <c r="H20" s="445"/>
      <c r="I20" s="118"/>
      <c r="J20" s="118"/>
    </row>
    <row r="21" spans="1:10" x14ac:dyDescent="0.35">
      <c r="A21" s="431"/>
      <c r="B21" s="441" t="str">
        <f>'3a-SalesForecastYear1'!B47</f>
        <v>Product 6</v>
      </c>
      <c r="C21" s="442">
        <f>'3b-SalesForecastYrs1-3'!B44</f>
        <v>0</v>
      </c>
      <c r="D21" s="445"/>
      <c r="E21" s="442">
        <f>'3b-SalesForecastYrs1-3'!O44</f>
        <v>0</v>
      </c>
      <c r="F21" s="451"/>
      <c r="G21" s="442">
        <f>'3b-SalesForecastYrs1-3'!AD44</f>
        <v>0</v>
      </c>
      <c r="H21" s="445"/>
      <c r="I21" s="118"/>
      <c r="J21" s="118"/>
    </row>
    <row r="22" spans="1:10" x14ac:dyDescent="0.35">
      <c r="A22" s="431"/>
      <c r="B22" s="447" t="s">
        <v>107</v>
      </c>
      <c r="C22" s="452">
        <f>SUM(C16:C21)</f>
        <v>0</v>
      </c>
      <c r="D22" s="453">
        <f>IF(C14=0,0,C22/C14)</f>
        <v>0</v>
      </c>
      <c r="E22" s="452">
        <f>SUM(E16:E21)</f>
        <v>0</v>
      </c>
      <c r="F22" s="453">
        <f>IF(E14=0,0,E22/E14)</f>
        <v>0</v>
      </c>
      <c r="G22" s="452">
        <f>SUM(G16:G21)</f>
        <v>0</v>
      </c>
      <c r="H22" s="453">
        <f>IF(G14=0,0,G22/G14)</f>
        <v>0</v>
      </c>
      <c r="I22" s="118"/>
      <c r="J22" s="118"/>
    </row>
    <row r="23" spans="1:10" x14ac:dyDescent="0.35">
      <c r="A23" s="431"/>
      <c r="B23" s="447" t="s">
        <v>199</v>
      </c>
      <c r="C23" s="454">
        <f>C14-C22</f>
        <v>0</v>
      </c>
      <c r="D23" s="453">
        <f>IF(C14=0,0,C23/C14)</f>
        <v>0</v>
      </c>
      <c r="E23" s="454">
        <f>E14-E22</f>
        <v>0</v>
      </c>
      <c r="F23" s="453">
        <f>IF(E14=0,0,E23/E14)</f>
        <v>0</v>
      </c>
      <c r="G23" s="454">
        <f>G14-G22</f>
        <v>0</v>
      </c>
      <c r="H23" s="453">
        <f>IF(G14=0,0,G23/G14)</f>
        <v>0</v>
      </c>
      <c r="I23" s="118"/>
      <c r="J23" s="118"/>
    </row>
    <row r="24" spans="1:10" x14ac:dyDescent="0.35">
      <c r="A24" s="431"/>
      <c r="B24" s="447" t="s">
        <v>181</v>
      </c>
      <c r="C24" s="454">
        <f>'2a-PayrollYear1'!R25</f>
        <v>0</v>
      </c>
      <c r="D24" s="453"/>
      <c r="E24" s="454">
        <f>'2b-PayrollYrs1-3'!E26</f>
        <v>0</v>
      </c>
      <c r="F24" s="455"/>
      <c r="G24" s="454">
        <f>'2b-PayrollYrs1-3'!G26</f>
        <v>0</v>
      </c>
      <c r="H24" s="456"/>
      <c r="I24" s="118"/>
      <c r="J24" s="118"/>
    </row>
    <row r="25" spans="1:10" ht="16.5" thickBot="1" x14ac:dyDescent="0.4">
      <c r="A25" s="431"/>
      <c r="B25" s="129" t="s">
        <v>180</v>
      </c>
      <c r="C25" s="129"/>
      <c r="D25" s="129"/>
      <c r="E25" s="129"/>
      <c r="F25" s="129"/>
      <c r="G25" s="129"/>
      <c r="H25" s="129"/>
      <c r="I25" s="118"/>
      <c r="J25" s="118"/>
    </row>
    <row r="26" spans="1:10" s="126" customFormat="1" ht="16.5" thickTop="1" x14ac:dyDescent="0.35">
      <c r="B26" s="457" t="str">
        <f>'5a-OpExYear1'!B10</f>
        <v>Advertising</v>
      </c>
      <c r="C26" s="182">
        <f>'5b-OpExYrs1-3'!C8</f>
        <v>0</v>
      </c>
      <c r="D26" s="458"/>
      <c r="E26" s="459">
        <f>'5b-OpExYrs1-3'!E8</f>
        <v>0</v>
      </c>
      <c r="F26" s="460"/>
      <c r="G26" s="459">
        <f>'5b-OpExYrs1-3'!G8</f>
        <v>0</v>
      </c>
      <c r="H26" s="461"/>
    </row>
    <row r="27" spans="1:10" s="126" customFormat="1" x14ac:dyDescent="0.35">
      <c r="B27" s="457" t="str">
        <f>'5a-OpExYear1'!B11</f>
        <v>Car and Truck Expenses</v>
      </c>
      <c r="C27" s="186">
        <f>'5b-OpExYrs1-3'!C9</f>
        <v>0</v>
      </c>
      <c r="D27" s="462"/>
      <c r="E27" s="389">
        <f>'5b-OpExYrs1-3'!E9</f>
        <v>0</v>
      </c>
      <c r="F27" s="463"/>
      <c r="G27" s="389">
        <f>'5b-OpExYrs1-3'!G9</f>
        <v>0</v>
      </c>
      <c r="H27" s="443"/>
    </row>
    <row r="28" spans="1:10" s="126" customFormat="1" x14ac:dyDescent="0.35">
      <c r="B28" s="457" t="str">
        <f>'5a-OpExYear1'!B12</f>
        <v>Commissions and Fees</v>
      </c>
      <c r="C28" s="186">
        <f>'5b-OpExYrs1-3'!C10</f>
        <v>0</v>
      </c>
      <c r="D28" s="462"/>
      <c r="E28" s="389">
        <f>'5b-OpExYrs1-3'!E10</f>
        <v>0</v>
      </c>
      <c r="F28" s="463"/>
      <c r="G28" s="389">
        <f>'5b-OpExYrs1-3'!G10</f>
        <v>0</v>
      </c>
      <c r="H28" s="443"/>
    </row>
    <row r="29" spans="1:10" s="126" customFormat="1" x14ac:dyDescent="0.35">
      <c r="B29" s="457" t="str">
        <f>'5a-OpExYear1'!B13</f>
        <v>Contract Labor (Not included in payroll)</v>
      </c>
      <c r="C29" s="186">
        <f>'5b-OpExYrs1-3'!C11</f>
        <v>0</v>
      </c>
      <c r="D29" s="462"/>
      <c r="E29" s="389">
        <f>'5b-OpExYrs1-3'!E11</f>
        <v>0</v>
      </c>
      <c r="F29" s="463"/>
      <c r="G29" s="389">
        <f>'5b-OpExYrs1-3'!G11</f>
        <v>0</v>
      </c>
      <c r="H29" s="443"/>
    </row>
    <row r="30" spans="1:10" s="126" customFormat="1" x14ac:dyDescent="0.35">
      <c r="B30" s="457" t="str">
        <f>'5a-OpExYear1'!B14</f>
        <v>Insurance (other than health)</v>
      </c>
      <c r="C30" s="186">
        <f>'5b-OpExYrs1-3'!C12</f>
        <v>0</v>
      </c>
      <c r="D30" s="462"/>
      <c r="E30" s="389">
        <f>'5b-OpExYrs1-3'!E12</f>
        <v>0</v>
      </c>
      <c r="F30" s="463"/>
      <c r="G30" s="389">
        <f>'5b-OpExYrs1-3'!G12</f>
        <v>0</v>
      </c>
      <c r="H30" s="443"/>
    </row>
    <row r="31" spans="1:10" x14ac:dyDescent="0.35">
      <c r="A31" s="431"/>
      <c r="B31" s="457" t="str">
        <f>'5a-OpExYear1'!B15</f>
        <v>Legal and Professional Services</v>
      </c>
      <c r="C31" s="186">
        <f>'5b-OpExYrs1-3'!C13</f>
        <v>0</v>
      </c>
      <c r="D31" s="462"/>
      <c r="E31" s="389">
        <f>'5b-OpExYrs1-3'!E13</f>
        <v>0</v>
      </c>
      <c r="F31" s="463"/>
      <c r="G31" s="389">
        <f>'5b-OpExYrs1-3'!G13</f>
        <v>0</v>
      </c>
      <c r="H31" s="443"/>
      <c r="I31" s="118"/>
      <c r="J31" s="118"/>
    </row>
    <row r="32" spans="1:10" x14ac:dyDescent="0.35">
      <c r="A32" s="431"/>
      <c r="B32" s="457" t="str">
        <f>'5a-OpExYear1'!B16</f>
        <v>Licenses</v>
      </c>
      <c r="C32" s="186">
        <f>'5b-OpExYrs1-3'!C14</f>
        <v>0</v>
      </c>
      <c r="D32" s="462"/>
      <c r="E32" s="389">
        <f>'5b-OpExYrs1-3'!E14</f>
        <v>0</v>
      </c>
      <c r="F32" s="463"/>
      <c r="G32" s="389">
        <f>'5b-OpExYrs1-3'!G14</f>
        <v>0</v>
      </c>
      <c r="H32" s="443"/>
      <c r="I32" s="118"/>
      <c r="J32" s="118"/>
    </row>
    <row r="33" spans="1:10" x14ac:dyDescent="0.35">
      <c r="A33" s="431"/>
      <c r="B33" s="457" t="str">
        <f>'5a-OpExYear1'!B17</f>
        <v>Office Expense</v>
      </c>
      <c r="C33" s="186">
        <f>'5b-OpExYrs1-3'!C15</f>
        <v>0</v>
      </c>
      <c r="D33" s="462"/>
      <c r="E33" s="389">
        <f>'5b-OpExYrs1-3'!E15</f>
        <v>0</v>
      </c>
      <c r="F33" s="463"/>
      <c r="G33" s="389">
        <f>'5b-OpExYrs1-3'!G15</f>
        <v>0</v>
      </c>
      <c r="H33" s="443"/>
      <c r="I33" s="118"/>
      <c r="J33" s="118"/>
    </row>
    <row r="34" spans="1:10" x14ac:dyDescent="0.35">
      <c r="A34" s="431"/>
      <c r="B34" s="457" t="str">
        <f>'5a-OpExYear1'!B18</f>
        <v>Rent or Lease -- Vehicles, Machinery, Equipment</v>
      </c>
      <c r="C34" s="186">
        <f>'5b-OpExYrs1-3'!C16</f>
        <v>0</v>
      </c>
      <c r="D34" s="462"/>
      <c r="E34" s="389">
        <f>'5b-OpExYrs1-3'!E16</f>
        <v>0</v>
      </c>
      <c r="F34" s="463"/>
      <c r="G34" s="389">
        <f>'5b-OpExYrs1-3'!G16</f>
        <v>0</v>
      </c>
      <c r="H34" s="443"/>
      <c r="I34" s="118"/>
      <c r="J34" s="118"/>
    </row>
    <row r="35" spans="1:10" x14ac:dyDescent="0.35">
      <c r="A35" s="431"/>
      <c r="B35" s="457" t="str">
        <f>'5a-OpExYear1'!B19</f>
        <v>Rent or Lease -- Other Business Property</v>
      </c>
      <c r="C35" s="186">
        <f>'5b-OpExYrs1-3'!C17</f>
        <v>0</v>
      </c>
      <c r="D35" s="462"/>
      <c r="E35" s="389">
        <f>'5b-OpExYrs1-3'!E17</f>
        <v>0</v>
      </c>
      <c r="F35" s="463"/>
      <c r="G35" s="389">
        <f>'5b-OpExYrs1-3'!G17</f>
        <v>0</v>
      </c>
      <c r="H35" s="443"/>
      <c r="I35" s="118"/>
      <c r="J35" s="118"/>
    </row>
    <row r="36" spans="1:10" x14ac:dyDescent="0.35">
      <c r="A36" s="431"/>
      <c r="B36" s="457" t="str">
        <f>'5a-OpExYear1'!B20</f>
        <v>Repairs and Maintenance</v>
      </c>
      <c r="C36" s="186">
        <f>'5b-OpExYrs1-3'!C18</f>
        <v>0</v>
      </c>
      <c r="D36" s="462"/>
      <c r="E36" s="389">
        <f>'5b-OpExYrs1-3'!E18</f>
        <v>0</v>
      </c>
      <c r="F36" s="463"/>
      <c r="G36" s="389">
        <f>'5b-OpExYrs1-3'!G18</f>
        <v>0</v>
      </c>
      <c r="H36" s="443"/>
      <c r="I36" s="118"/>
      <c r="J36" s="118"/>
    </row>
    <row r="37" spans="1:10" x14ac:dyDescent="0.35">
      <c r="A37" s="431"/>
      <c r="B37" s="457" t="str">
        <f>'5a-OpExYear1'!B21</f>
        <v>Supplies</v>
      </c>
      <c r="C37" s="186">
        <f>'5b-OpExYrs1-3'!C19</f>
        <v>0</v>
      </c>
      <c r="D37" s="462"/>
      <c r="E37" s="389">
        <f>'5b-OpExYrs1-3'!E19</f>
        <v>0</v>
      </c>
      <c r="F37" s="463"/>
      <c r="G37" s="389">
        <f>'5b-OpExYrs1-3'!G19</f>
        <v>0</v>
      </c>
      <c r="H37" s="443"/>
      <c r="I37" s="118"/>
      <c r="J37" s="118"/>
    </row>
    <row r="38" spans="1:10" x14ac:dyDescent="0.35">
      <c r="A38" s="431"/>
      <c r="B38" s="457" t="str">
        <f>'5a-OpExYear1'!B22</f>
        <v>Travel, Meals and Entertainment</v>
      </c>
      <c r="C38" s="186">
        <f>'5b-OpExYrs1-3'!C20</f>
        <v>0</v>
      </c>
      <c r="D38" s="462"/>
      <c r="E38" s="389">
        <f>'5b-OpExYrs1-3'!E20</f>
        <v>0</v>
      </c>
      <c r="F38" s="463"/>
      <c r="G38" s="389">
        <f>'5b-OpExYrs1-3'!G20</f>
        <v>0</v>
      </c>
      <c r="H38" s="443"/>
      <c r="I38" s="118"/>
      <c r="J38" s="118"/>
    </row>
    <row r="39" spans="1:10" x14ac:dyDescent="0.35">
      <c r="A39" s="431"/>
      <c r="B39" s="457" t="str">
        <f>'5a-OpExYear1'!B23</f>
        <v>Utilities</v>
      </c>
      <c r="C39" s="186">
        <f>'5b-OpExYrs1-3'!C21</f>
        <v>0</v>
      </c>
      <c r="D39" s="462"/>
      <c r="E39" s="389">
        <f>'5b-OpExYrs1-3'!E21</f>
        <v>0</v>
      </c>
      <c r="F39" s="463"/>
      <c r="G39" s="389">
        <f>'5b-OpExYrs1-3'!G21</f>
        <v>0</v>
      </c>
      <c r="H39" s="443"/>
      <c r="I39" s="118"/>
      <c r="J39" s="118"/>
    </row>
    <row r="40" spans="1:10" x14ac:dyDescent="0.35">
      <c r="A40" s="431"/>
      <c r="B40" s="457" t="str">
        <f>'5a-OpExYear1'!B24</f>
        <v xml:space="preserve">Miscellaneous </v>
      </c>
      <c r="C40" s="186">
        <f>'5b-OpExYrs1-3'!C22</f>
        <v>0</v>
      </c>
      <c r="D40" s="462"/>
      <c r="E40" s="389">
        <f>'5b-OpExYrs1-3'!E22</f>
        <v>0</v>
      </c>
      <c r="F40" s="463"/>
      <c r="G40" s="389">
        <f>'5b-OpExYrs1-3'!G22</f>
        <v>0</v>
      </c>
      <c r="H40" s="443"/>
      <c r="I40" s="118"/>
      <c r="J40" s="118"/>
    </row>
    <row r="41" spans="1:10" x14ac:dyDescent="0.35">
      <c r="A41" s="431"/>
      <c r="B41" s="464" t="s">
        <v>200</v>
      </c>
      <c r="C41" s="186"/>
      <c r="D41" s="462"/>
      <c r="E41" s="389"/>
      <c r="F41" s="463"/>
      <c r="G41" s="389"/>
      <c r="H41" s="443"/>
      <c r="I41" s="118"/>
      <c r="J41" s="118"/>
    </row>
    <row r="42" spans="1:10" x14ac:dyDescent="0.35">
      <c r="A42" s="431"/>
      <c r="B42" s="464" t="s">
        <v>201</v>
      </c>
      <c r="C42" s="186"/>
      <c r="D42" s="462"/>
      <c r="E42" s="389"/>
      <c r="F42" s="463"/>
      <c r="G42" s="389"/>
      <c r="H42" s="443"/>
      <c r="I42" s="118"/>
      <c r="J42" s="118"/>
    </row>
    <row r="43" spans="1:10" ht="18" customHeight="1" x14ac:dyDescent="0.35">
      <c r="A43" s="431"/>
      <c r="B43" s="465" t="s">
        <v>167</v>
      </c>
      <c r="C43" s="466">
        <f>SUM(C26:C42)</f>
        <v>0</v>
      </c>
      <c r="D43" s="467">
        <f>IF(C14=0,0,C43/C14)</f>
        <v>0</v>
      </c>
      <c r="E43" s="466">
        <f>SUM(E26:E42)</f>
        <v>0</v>
      </c>
      <c r="F43" s="467">
        <f>IF(E14=0,0,E43/E14)</f>
        <v>0</v>
      </c>
      <c r="G43" s="466">
        <f>SUM(G26:G42)</f>
        <v>0</v>
      </c>
      <c r="H43" s="467">
        <f>IF(G14=0,0,G43/G14)</f>
        <v>0</v>
      </c>
      <c r="I43" s="431"/>
      <c r="J43" s="431"/>
    </row>
    <row r="44" spans="1:10" ht="18" customHeight="1" x14ac:dyDescent="0.35">
      <c r="A44" s="431"/>
      <c r="B44" s="468" t="s">
        <v>202</v>
      </c>
      <c r="C44" s="469">
        <f>C23-C24-C43</f>
        <v>0</v>
      </c>
      <c r="D44" s="470">
        <f>IF(C14=0,0,C44/C14)</f>
        <v>0</v>
      </c>
      <c r="E44" s="469">
        <f>E23-E24-E43</f>
        <v>0</v>
      </c>
      <c r="F44" s="470">
        <f>IF(E14=0,0,E44/E14)</f>
        <v>0</v>
      </c>
      <c r="G44" s="469">
        <f>G23-G24-G43</f>
        <v>0</v>
      </c>
      <c r="H44" s="470">
        <f>IF(G14=0,0,G44/G14)</f>
        <v>0</v>
      </c>
      <c r="I44" s="431"/>
      <c r="J44" s="431"/>
    </row>
    <row r="45" spans="1:10" ht="18" customHeight="1" thickBot="1" x14ac:dyDescent="0.4">
      <c r="A45" s="431"/>
      <c r="B45" s="471" t="s">
        <v>158</v>
      </c>
      <c r="C45" s="472"/>
      <c r="D45" s="473"/>
      <c r="E45" s="472"/>
      <c r="F45" s="474"/>
      <c r="G45" s="472"/>
      <c r="H45" s="473"/>
      <c r="I45" s="431"/>
      <c r="J45" s="431"/>
    </row>
    <row r="46" spans="1:10" ht="18" customHeight="1" thickTop="1" x14ac:dyDescent="0.35">
      <c r="A46" s="431"/>
      <c r="B46" s="475" t="s">
        <v>203</v>
      </c>
      <c r="C46" s="476">
        <f>+'Amortization&amp;Depreciation'!O138+'Amortization&amp;Depreciation'!O149</f>
        <v>0</v>
      </c>
      <c r="D46" s="477"/>
      <c r="E46" s="476">
        <f>+'Amortization&amp;Depreciation'!O141+'Amortization&amp;Depreciation'!O152</f>
        <v>0</v>
      </c>
      <c r="F46" s="478"/>
      <c r="G46" s="476">
        <f>+'Amortization&amp;Depreciation'!O144+'Amortization&amp;Depreciation'!O155</f>
        <v>0</v>
      </c>
      <c r="H46" s="477"/>
      <c r="I46" s="431"/>
      <c r="J46" s="431"/>
    </row>
    <row r="47" spans="1:10" ht="18" customHeight="1" x14ac:dyDescent="0.35">
      <c r="A47" s="431"/>
      <c r="B47" s="479" t="s">
        <v>204</v>
      </c>
      <c r="C47" s="454">
        <f>+'Amortization&amp;Depreciation'!O119</f>
        <v>0</v>
      </c>
      <c r="D47" s="456"/>
      <c r="E47" s="454">
        <f>+'Amortization&amp;Depreciation'!O123</f>
        <v>0</v>
      </c>
      <c r="F47" s="455"/>
      <c r="G47" s="454">
        <f>+'Amortization&amp;Depreciation'!O127</f>
        <v>0</v>
      </c>
      <c r="H47" s="456"/>
      <c r="I47" s="431"/>
      <c r="J47" s="431"/>
    </row>
    <row r="48" spans="1:10" ht="18" customHeight="1" x14ac:dyDescent="0.35">
      <c r="A48" s="431"/>
      <c r="B48" s="479" t="s">
        <v>160</v>
      </c>
      <c r="C48" s="480"/>
      <c r="D48" s="456"/>
      <c r="E48" s="480"/>
      <c r="F48" s="455"/>
      <c r="G48" s="480"/>
      <c r="H48" s="456"/>
      <c r="I48" s="431"/>
      <c r="J48" s="431"/>
    </row>
    <row r="49" spans="1:17" ht="18" customHeight="1" x14ac:dyDescent="0.35">
      <c r="A49" s="431"/>
      <c r="B49" s="481" t="s">
        <v>45</v>
      </c>
      <c r="C49" s="454">
        <f>'5b-OpExYrs1-3'!C28</f>
        <v>0</v>
      </c>
      <c r="D49" s="456"/>
      <c r="E49" s="454">
        <f>'5b-OpExYrs1-3'!E28</f>
        <v>0</v>
      </c>
      <c r="F49" s="455"/>
      <c r="G49" s="454">
        <f>'5b-OpExYrs1-3'!G28</f>
        <v>0</v>
      </c>
      <c r="H49" s="456"/>
      <c r="I49" s="431"/>
      <c r="J49" s="431"/>
    </row>
    <row r="50" spans="1:17" ht="18" customHeight="1" x14ac:dyDescent="0.35">
      <c r="A50" s="431"/>
      <c r="B50" s="481" t="s">
        <v>46</v>
      </c>
      <c r="C50" s="454">
        <f>'5b-OpExYrs1-3'!C29</f>
        <v>0</v>
      </c>
      <c r="D50" s="456"/>
      <c r="E50" s="454">
        <f>'5b-OpExYrs1-3'!E29</f>
        <v>0</v>
      </c>
      <c r="F50" s="455"/>
      <c r="G50" s="454">
        <f>'5b-OpExYrs1-3'!G29</f>
        <v>0</v>
      </c>
      <c r="H50" s="456"/>
      <c r="I50" s="431"/>
      <c r="J50" s="431"/>
    </row>
    <row r="51" spans="1:17" ht="18" customHeight="1" x14ac:dyDescent="0.35">
      <c r="A51" s="431"/>
      <c r="B51" s="481" t="s">
        <v>48</v>
      </c>
      <c r="C51" s="454">
        <f>'5b-OpExYrs1-3'!C30</f>
        <v>0</v>
      </c>
      <c r="D51" s="456"/>
      <c r="E51" s="454">
        <f>'5b-OpExYrs1-3'!E30</f>
        <v>0</v>
      </c>
      <c r="F51" s="455"/>
      <c r="G51" s="454">
        <f>'5b-OpExYrs1-3'!G30</f>
        <v>0</v>
      </c>
      <c r="H51" s="456"/>
      <c r="I51" s="431"/>
      <c r="J51" s="431"/>
    </row>
    <row r="52" spans="1:17" ht="18" customHeight="1" x14ac:dyDescent="0.35">
      <c r="A52" s="431"/>
      <c r="B52" s="481" t="s">
        <v>49</v>
      </c>
      <c r="C52" s="454">
        <f>'5b-OpExYrs1-3'!C31</f>
        <v>0</v>
      </c>
      <c r="D52" s="456"/>
      <c r="E52" s="454">
        <f>'5b-OpExYrs1-3'!E31</f>
        <v>0</v>
      </c>
      <c r="F52" s="455"/>
      <c r="G52" s="454">
        <f>'5b-OpExYrs1-3'!G31</f>
        <v>0</v>
      </c>
      <c r="H52" s="456"/>
      <c r="I52" s="431"/>
      <c r="J52" s="431"/>
    </row>
    <row r="53" spans="1:17" ht="18" customHeight="1" x14ac:dyDescent="0.35">
      <c r="A53" s="431"/>
      <c r="B53" s="481" t="s">
        <v>50</v>
      </c>
      <c r="C53" s="454">
        <f>'5b-OpExYrs1-3'!C32</f>
        <v>0</v>
      </c>
      <c r="D53" s="456"/>
      <c r="E53" s="454">
        <f>'5b-OpExYrs1-3'!E32</f>
        <v>0</v>
      </c>
      <c r="F53" s="455"/>
      <c r="G53" s="454">
        <f>'5b-OpExYrs1-3'!G32</f>
        <v>0</v>
      </c>
      <c r="H53" s="456"/>
      <c r="I53" s="431"/>
      <c r="J53" s="431"/>
    </row>
    <row r="54" spans="1:17" ht="18" customHeight="1" x14ac:dyDescent="0.35">
      <c r="A54" s="431"/>
      <c r="B54" s="482" t="s">
        <v>205</v>
      </c>
      <c r="C54" s="454">
        <f>+'6a-CashFlowYear1'!O26</f>
        <v>0</v>
      </c>
      <c r="D54" s="456"/>
      <c r="E54" s="454">
        <f>'6b-CashFlowYrs1-3'!O25</f>
        <v>0</v>
      </c>
      <c r="F54" s="455"/>
      <c r="G54" s="454">
        <f>+'6b-CashFlowYrs1-3'!AB25</f>
        <v>0</v>
      </c>
      <c r="H54" s="456"/>
      <c r="I54" s="431"/>
      <c r="J54" s="431"/>
    </row>
    <row r="55" spans="1:17" ht="18" customHeight="1" x14ac:dyDescent="0.35">
      <c r="A55" s="431"/>
      <c r="B55" s="414" t="s">
        <v>162</v>
      </c>
      <c r="C55" s="454">
        <f>+'3a-SalesForecastYear1'!O53*'4-AdditionalInputs'!$C$12</f>
        <v>0</v>
      </c>
      <c r="D55" s="456"/>
      <c r="E55" s="454">
        <f>'3b-SalesForecastYrs1-3'!O47*'4-AdditionalInputs'!$D$12</f>
        <v>0</v>
      </c>
      <c r="F55" s="455"/>
      <c r="G55" s="454">
        <f>'3b-SalesForecastYrs1-3'!AD47*'4-AdditionalInputs'!$E$12</f>
        <v>0</v>
      </c>
      <c r="H55" s="456"/>
      <c r="I55" s="431"/>
      <c r="J55" s="431"/>
    </row>
    <row r="56" spans="1:17" ht="18" customHeight="1" x14ac:dyDescent="0.35">
      <c r="A56" s="431"/>
      <c r="B56" s="483" t="s">
        <v>163</v>
      </c>
      <c r="C56" s="351">
        <f>SUM(C46:C55)</f>
        <v>0</v>
      </c>
      <c r="D56" s="453">
        <f>IF(C14=0,0,C56/C14)</f>
        <v>0</v>
      </c>
      <c r="E56" s="351">
        <f>SUM(E46:E55)</f>
        <v>0</v>
      </c>
      <c r="F56" s="453">
        <f>IF(E14=0,0,E56/E14)</f>
        <v>0</v>
      </c>
      <c r="G56" s="351">
        <f>SUM(G46:G55)</f>
        <v>0</v>
      </c>
      <c r="H56" s="453">
        <f>IF(G14=0,0,G56/G14)</f>
        <v>0</v>
      </c>
      <c r="I56" s="431"/>
      <c r="J56" s="431"/>
    </row>
    <row r="57" spans="1:17" ht="18" customHeight="1" x14ac:dyDescent="0.35">
      <c r="A57" s="431"/>
      <c r="B57" s="384" t="s">
        <v>206</v>
      </c>
      <c r="C57" s="165">
        <f>C23-C24-C43-C56</f>
        <v>0</v>
      </c>
      <c r="D57" s="453"/>
      <c r="E57" s="165">
        <f>E23-E24-E43-E56</f>
        <v>0</v>
      </c>
      <c r="F57" s="453"/>
      <c r="G57" s="165">
        <f>G23-G24-G43-G56</f>
        <v>0</v>
      </c>
      <c r="H57" s="453"/>
      <c r="I57" s="431"/>
      <c r="J57" s="431"/>
    </row>
    <row r="58" spans="1:17" x14ac:dyDescent="0.35">
      <c r="A58" s="431"/>
      <c r="B58" s="145" t="s">
        <v>207</v>
      </c>
      <c r="C58" s="350">
        <f>+'7a-IncomeStatementYear1'!O59</f>
        <v>0</v>
      </c>
      <c r="D58" s="453"/>
      <c r="E58" s="350">
        <f>O65</f>
        <v>0</v>
      </c>
      <c r="F58" s="453"/>
      <c r="G58" s="350">
        <f>O69</f>
        <v>0</v>
      </c>
      <c r="H58" s="453"/>
      <c r="I58" s="431"/>
      <c r="J58" s="431"/>
    </row>
    <row r="59" spans="1:17" x14ac:dyDescent="0.35">
      <c r="A59" s="431"/>
      <c r="B59" s="447" t="s">
        <v>213</v>
      </c>
      <c r="C59" s="165">
        <f>C57-C58</f>
        <v>0</v>
      </c>
      <c r="D59" s="453">
        <f>IF(C14=0,0,C59/C14)</f>
        <v>0</v>
      </c>
      <c r="E59" s="165">
        <f>E57-E58</f>
        <v>0</v>
      </c>
      <c r="F59" s="453">
        <f>IF(E14=0,0,E59/E14)</f>
        <v>0</v>
      </c>
      <c r="G59" s="165">
        <f>G57-G58</f>
        <v>0</v>
      </c>
      <c r="H59" s="453">
        <f>IF(G14=0,0,G59/G14)</f>
        <v>0</v>
      </c>
      <c r="I59" s="431"/>
      <c r="J59" s="431"/>
    </row>
    <row r="60" spans="1:17" x14ac:dyDescent="0.35">
      <c r="A60" s="431"/>
      <c r="B60" s="425"/>
      <c r="I60" s="431"/>
      <c r="J60" s="431"/>
      <c r="Q60" s="400"/>
    </row>
    <row r="61" spans="1:17" x14ac:dyDescent="0.35">
      <c r="A61" s="486"/>
      <c r="B61" s="421"/>
      <c r="C61" s="421"/>
      <c r="D61" s="487"/>
      <c r="E61" s="421"/>
      <c r="F61" s="488"/>
      <c r="G61" s="421"/>
      <c r="H61" s="487"/>
      <c r="I61" s="486"/>
      <c r="J61" s="486"/>
      <c r="K61" s="421"/>
      <c r="L61" s="421"/>
      <c r="M61" s="421"/>
      <c r="N61" s="421"/>
      <c r="O61" s="421"/>
      <c r="P61" s="421"/>
      <c r="Q61" s="400"/>
    </row>
    <row r="62" spans="1:17" x14ac:dyDescent="0.35">
      <c r="A62" s="486"/>
      <c r="B62" s="489" t="s">
        <v>209</v>
      </c>
      <c r="C62" s="489" t="s">
        <v>214</v>
      </c>
      <c r="D62" s="490" t="s">
        <v>215</v>
      </c>
      <c r="E62" s="489" t="s">
        <v>216</v>
      </c>
      <c r="F62" s="490" t="s">
        <v>217</v>
      </c>
      <c r="G62" s="489" t="s">
        <v>218</v>
      </c>
      <c r="H62" s="490" t="s">
        <v>219</v>
      </c>
      <c r="I62" s="489" t="s">
        <v>220</v>
      </c>
      <c r="J62" s="490" t="s">
        <v>221</v>
      </c>
      <c r="K62" s="489" t="s">
        <v>222</v>
      </c>
      <c r="L62" s="490" t="s">
        <v>223</v>
      </c>
      <c r="M62" s="489" t="s">
        <v>224</v>
      </c>
      <c r="N62" s="490" t="s">
        <v>225</v>
      </c>
      <c r="O62" s="489" t="s">
        <v>226</v>
      </c>
      <c r="P62" s="421"/>
      <c r="Q62" s="400"/>
    </row>
    <row r="63" spans="1:17" x14ac:dyDescent="0.35">
      <c r="A63" s="486"/>
      <c r="B63" s="491" t="s">
        <v>227</v>
      </c>
      <c r="C63" s="492">
        <f>'3b-SalesForecastYrs1-3'!C49-('2b-PayrollYrs1-3'!$E$26/12)-'6b-CashFlowYrs1-3'!C19-'Amortization&amp;Depreciation'!C123-'Amortization&amp;Depreciation'!C39-'Amortization&amp;Depreciation'!C19-'6b-CashFlowYrs1-3'!C25</f>
        <v>0</v>
      </c>
      <c r="D63" s="492">
        <f>'3b-SalesForecastYrs1-3'!D49-('2b-PayrollYrs1-3'!$E$26/12)-'6b-CashFlowYrs1-3'!D19-'Amortization&amp;Depreciation'!D123-'Amortization&amp;Depreciation'!D39-'Amortization&amp;Depreciation'!D19-'6b-CashFlowYrs1-3'!D25</f>
        <v>0</v>
      </c>
      <c r="E63" s="492">
        <f>'3b-SalesForecastYrs1-3'!E49-('2b-PayrollYrs1-3'!$E$26/12)-'6b-CashFlowYrs1-3'!E19-'Amortization&amp;Depreciation'!E123-'Amortization&amp;Depreciation'!E39-'Amortization&amp;Depreciation'!E19-'6b-CashFlowYrs1-3'!E25</f>
        <v>0</v>
      </c>
      <c r="F63" s="492">
        <f>'3b-SalesForecastYrs1-3'!F49-('2b-PayrollYrs1-3'!$E$26/12)-'6b-CashFlowYrs1-3'!F19-'Amortization&amp;Depreciation'!F123-'Amortization&amp;Depreciation'!F39-'Amortization&amp;Depreciation'!F19-'6b-CashFlowYrs1-3'!F25</f>
        <v>0</v>
      </c>
      <c r="G63" s="492">
        <f>'3b-SalesForecastYrs1-3'!G49-('2b-PayrollYrs1-3'!$E$26/12)-'6b-CashFlowYrs1-3'!G19-'Amortization&amp;Depreciation'!G123-'Amortization&amp;Depreciation'!G39-'Amortization&amp;Depreciation'!G19-'6b-CashFlowYrs1-3'!G25</f>
        <v>0</v>
      </c>
      <c r="H63" s="492">
        <f>'3b-SalesForecastYrs1-3'!H49-('2b-PayrollYrs1-3'!$E$26/12)-'6b-CashFlowYrs1-3'!H19-'Amortization&amp;Depreciation'!H123-'Amortization&amp;Depreciation'!H39-'Amortization&amp;Depreciation'!H19-'6b-CashFlowYrs1-3'!H25</f>
        <v>0</v>
      </c>
      <c r="I63" s="492">
        <f>'3b-SalesForecastYrs1-3'!I49-('2b-PayrollYrs1-3'!$E$26/12)-'6b-CashFlowYrs1-3'!I19-'Amortization&amp;Depreciation'!I123-'Amortization&amp;Depreciation'!I39-'Amortization&amp;Depreciation'!I19-'6b-CashFlowYrs1-3'!I25</f>
        <v>0</v>
      </c>
      <c r="J63" s="492">
        <f>'3b-SalesForecastYrs1-3'!J49-('2b-PayrollYrs1-3'!$E$26/12)-'6b-CashFlowYrs1-3'!J19-'Amortization&amp;Depreciation'!J123-'Amortization&amp;Depreciation'!J39-'Amortization&amp;Depreciation'!J19-'6b-CashFlowYrs1-3'!J25</f>
        <v>0</v>
      </c>
      <c r="K63" s="492">
        <f>'3b-SalesForecastYrs1-3'!K49-('2b-PayrollYrs1-3'!$E$26/12)-'6b-CashFlowYrs1-3'!K19-'Amortization&amp;Depreciation'!K123-'Amortization&amp;Depreciation'!K39-'Amortization&amp;Depreciation'!K19-'6b-CashFlowYrs1-3'!K25</f>
        <v>0</v>
      </c>
      <c r="L63" s="492">
        <f>'3b-SalesForecastYrs1-3'!L49-('2b-PayrollYrs1-3'!$E$26/12)-'6b-CashFlowYrs1-3'!L19-'Amortization&amp;Depreciation'!L123-'Amortization&amp;Depreciation'!L39-'Amortization&amp;Depreciation'!L19-'6b-CashFlowYrs1-3'!L25</f>
        <v>0</v>
      </c>
      <c r="M63" s="492">
        <f>'3b-SalesForecastYrs1-3'!M49-('2b-PayrollYrs1-3'!$E$26/12)-'6b-CashFlowYrs1-3'!M19-'Amortization&amp;Depreciation'!M123-'Amortization&amp;Depreciation'!M39-'Amortization&amp;Depreciation'!M19-'6b-CashFlowYrs1-3'!M25</f>
        <v>0</v>
      </c>
      <c r="N63" s="492">
        <f>'3b-SalesForecastYrs1-3'!N49-('2b-PayrollYrs1-3'!$E$26/12)-'6b-CashFlowYrs1-3'!N19-'Amortization&amp;Depreciation'!N123-'Amortization&amp;Depreciation'!N39-'Amortization&amp;Depreciation'!N19-'6b-CashFlowYrs1-3'!N25</f>
        <v>0</v>
      </c>
      <c r="O63" s="492">
        <f>SUM(C63:N63)</f>
        <v>0</v>
      </c>
      <c r="P63" s="421"/>
      <c r="Q63" s="400"/>
    </row>
    <row r="64" spans="1:17" x14ac:dyDescent="0.35">
      <c r="A64" s="486"/>
      <c r="B64" s="491" t="s">
        <v>226</v>
      </c>
      <c r="C64" s="492">
        <f>C63</f>
        <v>0</v>
      </c>
      <c r="D64" s="492">
        <f>D63+C64</f>
        <v>0</v>
      </c>
      <c r="E64" s="492">
        <f t="shared" ref="E64:N64" si="0">E63+D64</f>
        <v>0</v>
      </c>
      <c r="F64" s="492">
        <f t="shared" si="0"/>
        <v>0</v>
      </c>
      <c r="G64" s="492">
        <f t="shared" si="0"/>
        <v>0</v>
      </c>
      <c r="H64" s="492">
        <f t="shared" si="0"/>
        <v>0</v>
      </c>
      <c r="I64" s="492">
        <f t="shared" si="0"/>
        <v>0</v>
      </c>
      <c r="J64" s="492">
        <f t="shared" si="0"/>
        <v>0</v>
      </c>
      <c r="K64" s="492">
        <f t="shared" si="0"/>
        <v>0</v>
      </c>
      <c r="L64" s="492">
        <f t="shared" si="0"/>
        <v>0</v>
      </c>
      <c r="M64" s="492">
        <f t="shared" si="0"/>
        <v>0</v>
      </c>
      <c r="N64" s="492">
        <f t="shared" si="0"/>
        <v>0</v>
      </c>
      <c r="O64" s="492">
        <f>SUM(C64:N64)</f>
        <v>0</v>
      </c>
      <c r="P64" s="421"/>
      <c r="Q64" s="400"/>
    </row>
    <row r="65" spans="1:23" x14ac:dyDescent="0.35">
      <c r="A65" s="486"/>
      <c r="B65" s="491" t="s">
        <v>228</v>
      </c>
      <c r="C65" s="492">
        <f>IF(C64&gt;0,C63*'4-AdditionalInputs'!$C$40, 0)</f>
        <v>0</v>
      </c>
      <c r="D65" s="493">
        <f>IF(D64&gt;0,IF(C64&lt;0,(D63-ABS(C64))*'4-AdditionalInputs'!$C$40,D63*'4-AdditionalInputs'!$C$40),IF(C64&gt;0,-(C64*'4-AdditionalInputs'!$C$40),0))</f>
        <v>0</v>
      </c>
      <c r="E65" s="493">
        <f>IF(E64&gt;0,IF(D64&lt;0,(E63-ABS(D64))*'4-AdditionalInputs'!$C$40,E63*'4-AdditionalInputs'!$C$40),IF(D64&gt;0,-(D64*'4-AdditionalInputs'!$C$40),0))</f>
        <v>0</v>
      </c>
      <c r="F65" s="493">
        <f>IF(F64&gt;0,IF(E64&lt;0,(F63-ABS(E64))*'4-AdditionalInputs'!$C$40,F63*'4-AdditionalInputs'!$C$40),IF(E64&gt;0,-(E64*'4-AdditionalInputs'!$C$40),0))</f>
        <v>0</v>
      </c>
      <c r="G65" s="493">
        <f>IF(G64&gt;0,IF(F64&lt;0,(G63-ABS(F64))*'4-AdditionalInputs'!$C$40,G63*'4-AdditionalInputs'!$C$40),IF(F64&gt;0,-(F64*'4-AdditionalInputs'!$C$40),0))</f>
        <v>0</v>
      </c>
      <c r="H65" s="493">
        <f>IF(H64&gt;0,IF(G64&lt;0,(H63-ABS(G64))*'4-AdditionalInputs'!$C$40,H63*'4-AdditionalInputs'!$C$40),IF(G64&gt;0,-(G64*'4-AdditionalInputs'!$C$40),0))</f>
        <v>0</v>
      </c>
      <c r="I65" s="493">
        <f>IF(I64&gt;0,IF(H64&lt;0,(I63-ABS(H64))*'4-AdditionalInputs'!$C$40,I63*'4-AdditionalInputs'!$C$40),IF(H64&gt;0,-(H64*'4-AdditionalInputs'!$C$40),0))</f>
        <v>0</v>
      </c>
      <c r="J65" s="493">
        <f>IF(J64&gt;0,IF(I64&lt;0,(J63-ABS(I64))*'4-AdditionalInputs'!$C$40,J63*'4-AdditionalInputs'!$C$40),IF(I64&gt;0,-(I64*'4-AdditionalInputs'!$C$40),0))</f>
        <v>0</v>
      </c>
      <c r="K65" s="493">
        <f>IF(K64&gt;0,IF(J64&lt;0,(K63-ABS(J64))*'4-AdditionalInputs'!$C$40,K63*'4-AdditionalInputs'!$C$40),IF(J64&gt;0,-(J64*'4-AdditionalInputs'!$C$40),0))</f>
        <v>0</v>
      </c>
      <c r="L65" s="493">
        <f>IF(L64&gt;0,IF(K64&lt;0,(L63-ABS(K64))*'4-AdditionalInputs'!$C$40,L63*'4-AdditionalInputs'!$C$40),IF(K64&gt;0,-(K64*'4-AdditionalInputs'!$C$40),0))</f>
        <v>0</v>
      </c>
      <c r="M65" s="493">
        <f>IF(M64&gt;0,IF(L64&lt;0,(M63-ABS(L64))*'4-AdditionalInputs'!$C$40,M63*'4-AdditionalInputs'!$C$40),IF(L64&gt;0,-(L64*'4-AdditionalInputs'!$C$40),0))</f>
        <v>0</v>
      </c>
      <c r="N65" s="493">
        <f>IF(N64&gt;0,IF(M64&lt;0,(N63-ABS(M64))*'4-AdditionalInputs'!$C$40,N63*'4-AdditionalInputs'!$C$40),IF(M64&gt;0,-(M64*'4-AdditionalInputs'!$C$40),0))</f>
        <v>0</v>
      </c>
      <c r="O65" s="493">
        <f>SUM(C65:N65)</f>
        <v>0</v>
      </c>
      <c r="P65" s="421"/>
      <c r="Q65" s="400"/>
    </row>
    <row r="66" spans="1:23" x14ac:dyDescent="0.35">
      <c r="A66" s="486"/>
      <c r="B66" s="421"/>
      <c r="C66" s="421"/>
      <c r="D66" s="487"/>
      <c r="E66" s="421"/>
      <c r="F66" s="488"/>
      <c r="G66" s="421"/>
      <c r="H66" s="487"/>
      <c r="I66" s="486"/>
      <c r="J66" s="486"/>
      <c r="K66" s="421"/>
      <c r="L66" s="421"/>
      <c r="M66" s="421"/>
      <c r="N66" s="421"/>
      <c r="O66" s="421"/>
      <c r="P66" s="421"/>
      <c r="Q66" s="400"/>
      <c r="R66" s="400"/>
      <c r="S66" s="400"/>
    </row>
    <row r="67" spans="1:23" x14ac:dyDescent="0.35">
      <c r="A67" s="486"/>
      <c r="B67" s="491" t="s">
        <v>229</v>
      </c>
      <c r="C67" s="492">
        <f>('3b-SalesForecastYrs1-3'!R49-('2b-PayrollYrs1-3'!$G$26/12)-'6b-CashFlowYrs1-3'!P19)-'Amortization&amp;Depreciation'!C127-'Amortization&amp;Depreciation'!C43-'Amortization&amp;Depreciation'!C23-'6b-CashFlowYrs1-3'!P25</f>
        <v>0</v>
      </c>
      <c r="D67" s="492">
        <f>('3b-SalesForecastYrs1-3'!S49-('2b-PayrollYrs1-3'!$G$26/12)-'6b-CashFlowYrs1-3'!Q19)-'Amortization&amp;Depreciation'!D127-'Amortization&amp;Depreciation'!D43-'Amortization&amp;Depreciation'!D23-'6b-CashFlowYrs1-3'!Q25</f>
        <v>0</v>
      </c>
      <c r="E67" s="492">
        <f>('3b-SalesForecastYrs1-3'!T49-('2b-PayrollYrs1-3'!$G$26/12)-'6b-CashFlowYrs1-3'!R19)-'Amortization&amp;Depreciation'!E127-'Amortization&amp;Depreciation'!E43-'Amortization&amp;Depreciation'!E23-'6b-CashFlowYrs1-3'!R25</f>
        <v>0</v>
      </c>
      <c r="F67" s="492">
        <f>('3b-SalesForecastYrs1-3'!U49-('2b-PayrollYrs1-3'!$G$26/12)-'6b-CashFlowYrs1-3'!S19)-'Amortization&amp;Depreciation'!F127-'Amortization&amp;Depreciation'!F43-'Amortization&amp;Depreciation'!F23-'6b-CashFlowYrs1-3'!S25</f>
        <v>0</v>
      </c>
      <c r="G67" s="492">
        <f>('3b-SalesForecastYrs1-3'!V49-('2b-PayrollYrs1-3'!$G$26/12)-'6b-CashFlowYrs1-3'!T19)-'Amortization&amp;Depreciation'!G127-'Amortization&amp;Depreciation'!G43-'Amortization&amp;Depreciation'!G23-'6b-CashFlowYrs1-3'!T25</f>
        <v>0</v>
      </c>
      <c r="H67" s="492">
        <f>('3b-SalesForecastYrs1-3'!W49-('2b-PayrollYrs1-3'!$G$26/12)-'6b-CashFlowYrs1-3'!U19)-'Amortization&amp;Depreciation'!H127-'Amortization&amp;Depreciation'!H43-'Amortization&amp;Depreciation'!H23-'6b-CashFlowYrs1-3'!U25</f>
        <v>0</v>
      </c>
      <c r="I67" s="492">
        <f>('3b-SalesForecastYrs1-3'!X49-('2b-PayrollYrs1-3'!$G$26/12)-'6b-CashFlowYrs1-3'!V19)-'Amortization&amp;Depreciation'!I127-'Amortization&amp;Depreciation'!I43-'Amortization&amp;Depreciation'!I23-'6b-CashFlowYrs1-3'!V25</f>
        <v>0</v>
      </c>
      <c r="J67" s="492">
        <f>('3b-SalesForecastYrs1-3'!Y49-('2b-PayrollYrs1-3'!$G$26/12)-'6b-CashFlowYrs1-3'!W19)-'Amortization&amp;Depreciation'!J127-'Amortization&amp;Depreciation'!J43-'Amortization&amp;Depreciation'!J23-'6b-CashFlowYrs1-3'!W25</f>
        <v>0</v>
      </c>
      <c r="K67" s="492">
        <f>('3b-SalesForecastYrs1-3'!Z49-('2b-PayrollYrs1-3'!$G$26/12)-'6b-CashFlowYrs1-3'!X19)-'Amortization&amp;Depreciation'!K127-'Amortization&amp;Depreciation'!K43-'Amortization&amp;Depreciation'!K23-'6b-CashFlowYrs1-3'!X25</f>
        <v>0</v>
      </c>
      <c r="L67" s="492">
        <f>('3b-SalesForecastYrs1-3'!AA49-('2b-PayrollYrs1-3'!$G$26/12)-'6b-CashFlowYrs1-3'!Y19)-'Amortization&amp;Depreciation'!L127-'Amortization&amp;Depreciation'!L43-'Amortization&amp;Depreciation'!L23-'6b-CashFlowYrs1-3'!Y25</f>
        <v>0</v>
      </c>
      <c r="M67" s="492">
        <f>('3b-SalesForecastYrs1-3'!AB49-('2b-PayrollYrs1-3'!$G$26/12)-'6b-CashFlowYrs1-3'!Z19)-'Amortization&amp;Depreciation'!M127-'Amortization&amp;Depreciation'!M43-'Amortization&amp;Depreciation'!M23-'6b-CashFlowYrs1-3'!Z25</f>
        <v>0</v>
      </c>
      <c r="N67" s="492">
        <f>('3b-SalesForecastYrs1-3'!AC49-('2b-PayrollYrs1-3'!$G$26/12)-'6b-CashFlowYrs1-3'!AA19)-'Amortization&amp;Depreciation'!N127-'Amortization&amp;Depreciation'!N43-'Amortization&amp;Depreciation'!N23-'6b-CashFlowYrs1-3'!AA25</f>
        <v>0</v>
      </c>
      <c r="O67" s="492">
        <f>SUM(C67:N67)</f>
        <v>0</v>
      </c>
      <c r="P67" s="421"/>
      <c r="Q67" s="400"/>
      <c r="R67" s="400"/>
      <c r="S67" s="400"/>
    </row>
    <row r="68" spans="1:23" x14ac:dyDescent="0.35">
      <c r="A68" s="486"/>
      <c r="B68" s="491" t="s">
        <v>226</v>
      </c>
      <c r="C68" s="492">
        <f>C67</f>
        <v>0</v>
      </c>
      <c r="D68" s="492">
        <f>D67+C68</f>
        <v>0</v>
      </c>
      <c r="E68" s="492">
        <f t="shared" ref="E68:N68" si="1">E67+D68</f>
        <v>0</v>
      </c>
      <c r="F68" s="492">
        <f t="shared" si="1"/>
        <v>0</v>
      </c>
      <c r="G68" s="492">
        <f t="shared" si="1"/>
        <v>0</v>
      </c>
      <c r="H68" s="492">
        <f t="shared" si="1"/>
        <v>0</v>
      </c>
      <c r="I68" s="492">
        <f t="shared" si="1"/>
        <v>0</v>
      </c>
      <c r="J68" s="492">
        <f t="shared" si="1"/>
        <v>0</v>
      </c>
      <c r="K68" s="492">
        <f t="shared" si="1"/>
        <v>0</v>
      </c>
      <c r="L68" s="492">
        <f t="shared" si="1"/>
        <v>0</v>
      </c>
      <c r="M68" s="492">
        <f t="shared" si="1"/>
        <v>0</v>
      </c>
      <c r="N68" s="492">
        <f t="shared" si="1"/>
        <v>0</v>
      </c>
      <c r="O68" s="492">
        <f>SUM(C68:N68)</f>
        <v>0</v>
      </c>
      <c r="P68" s="421"/>
      <c r="Q68" s="400"/>
      <c r="R68" s="400"/>
      <c r="S68" s="400"/>
    </row>
    <row r="69" spans="1:23" x14ac:dyDescent="0.35">
      <c r="A69" s="486"/>
      <c r="B69" s="423" t="s">
        <v>228</v>
      </c>
      <c r="C69" s="492">
        <f>IF(C68&gt;0,C67*'4-AdditionalInputs'!$C$40, 0)</f>
        <v>0</v>
      </c>
      <c r="D69" s="493">
        <f>IF(D68&gt;0,IF(C68&lt;0,(D67-ABS(C68))*'4-AdditionalInputs'!$C$40,D67*'4-AdditionalInputs'!$C$40),IF(C68&gt;0,C68*'4-AdditionalInputs'!$C$40,0))</f>
        <v>0</v>
      </c>
      <c r="E69" s="493">
        <f>IF(E68&gt;0,IF(D68&lt;0,(E67-ABS(D68))*'4-AdditionalInputs'!$C$40,E67*'4-AdditionalInputs'!$C$40),IF(D68&gt;0,D68*'4-AdditionalInputs'!$C$40,0))</f>
        <v>0</v>
      </c>
      <c r="F69" s="493">
        <f>IF(F68&gt;0,IF(E68&lt;0,(F67-ABS(E68))*'4-AdditionalInputs'!$C$40,F67*'4-AdditionalInputs'!$C$40),IF(E68&gt;0,E68*'4-AdditionalInputs'!$C$40,0))</f>
        <v>0</v>
      </c>
      <c r="G69" s="493">
        <f>IF(G68&gt;0,IF(F68&lt;0,(G67-ABS(F68))*'4-AdditionalInputs'!$C$40,G67*'4-AdditionalInputs'!$C$40),IF(F68&gt;0,F68*'4-AdditionalInputs'!$C$40,0))</f>
        <v>0</v>
      </c>
      <c r="H69" s="493">
        <f>IF(H68&gt;0,IF(G68&lt;0,(H67-ABS(G68))*'4-AdditionalInputs'!$C$40,H67*'4-AdditionalInputs'!$C$40),IF(G68&gt;0,G68*'4-AdditionalInputs'!$C$40,0))</f>
        <v>0</v>
      </c>
      <c r="I69" s="493">
        <f>IF(I68&gt;0,IF(H68&lt;0,(I67-ABS(H68))*'4-AdditionalInputs'!$C$40,I67*'4-AdditionalInputs'!$C$40),IF(H68&gt;0,H68*'4-AdditionalInputs'!$C$40,0))</f>
        <v>0</v>
      </c>
      <c r="J69" s="493">
        <f>IF(J68&gt;0,IF(I68&lt;0,(J67-ABS(I68))*'4-AdditionalInputs'!$C$40,J67*'4-AdditionalInputs'!$C$40),IF(I68&gt;0,I68*'4-AdditionalInputs'!$C$40,0))</f>
        <v>0</v>
      </c>
      <c r="K69" s="493">
        <f>IF(K68&gt;0,IF(J68&lt;0,(K67-ABS(J68))*'4-AdditionalInputs'!$C$40,K67*'4-AdditionalInputs'!$C$40),IF(J68&gt;0,J68*'4-AdditionalInputs'!$C$40,0))</f>
        <v>0</v>
      </c>
      <c r="L69" s="493">
        <f>IF(L68&gt;0,IF(K68&lt;0,(L67-ABS(K68))*'4-AdditionalInputs'!$C$40,L67*'4-AdditionalInputs'!$C$40),IF(K68&gt;0,K68*'4-AdditionalInputs'!$C$40,0))</f>
        <v>0</v>
      </c>
      <c r="M69" s="493">
        <f>IF(M68&gt;0,IF(L68&lt;0,(M67-ABS(L68))*'4-AdditionalInputs'!$C$40,M67*'4-AdditionalInputs'!$C$40),IF(L68&gt;0,L68*'4-AdditionalInputs'!$C$40,0))</f>
        <v>0</v>
      </c>
      <c r="N69" s="493">
        <f>IF(N68&gt;0,IF(M68&lt;0,(N67-ABS(M68))*'4-AdditionalInputs'!$C$40,N67*'4-AdditionalInputs'!$C$40),IF(M68&gt;0,M68*'4-AdditionalInputs'!$C$40,0))</f>
        <v>0</v>
      </c>
      <c r="O69" s="492">
        <f>SUM(C69:N69)</f>
        <v>0</v>
      </c>
      <c r="P69" s="421"/>
      <c r="Q69" s="400"/>
      <c r="R69" s="400"/>
      <c r="S69" s="400"/>
    </row>
    <row r="70" spans="1:23" x14ac:dyDescent="0.35">
      <c r="A70" s="486"/>
      <c r="B70" s="494"/>
      <c r="C70" s="495"/>
      <c r="D70" s="495"/>
      <c r="E70" s="495"/>
      <c r="F70" s="495"/>
      <c r="G70" s="495"/>
      <c r="H70" s="495"/>
      <c r="I70" s="495"/>
      <c r="J70" s="495"/>
      <c r="K70" s="495"/>
      <c r="L70" s="495"/>
      <c r="M70" s="495"/>
      <c r="N70" s="495"/>
      <c r="O70" s="495"/>
      <c r="P70" s="421"/>
      <c r="Q70" s="400"/>
      <c r="R70" s="400"/>
      <c r="S70" s="400"/>
    </row>
    <row r="71" spans="1:23" x14ac:dyDescent="0.35">
      <c r="A71" s="486"/>
      <c r="B71" s="494"/>
      <c r="C71" s="495"/>
      <c r="D71" s="495"/>
      <c r="E71" s="495"/>
      <c r="F71" s="495"/>
      <c r="G71" s="495"/>
      <c r="H71" s="495"/>
      <c r="I71" s="495"/>
      <c r="J71" s="495"/>
      <c r="K71" s="495"/>
      <c r="L71" s="495"/>
      <c r="M71" s="495"/>
      <c r="N71" s="495"/>
      <c r="O71" s="495"/>
      <c r="P71" s="421"/>
      <c r="Q71" s="400"/>
      <c r="R71" s="400"/>
      <c r="S71" s="400"/>
    </row>
    <row r="72" spans="1:23" x14ac:dyDescent="0.35">
      <c r="A72" s="486"/>
      <c r="B72" s="494"/>
      <c r="C72" s="496"/>
      <c r="D72" s="496"/>
      <c r="E72" s="496"/>
      <c r="F72" s="496"/>
      <c r="G72" s="496"/>
      <c r="H72" s="496"/>
      <c r="I72" s="496"/>
      <c r="J72" s="496"/>
      <c r="K72" s="496"/>
      <c r="L72" s="496"/>
      <c r="M72" s="496"/>
      <c r="N72" s="496"/>
      <c r="O72" s="495"/>
      <c r="P72" s="421"/>
      <c r="Q72" s="400"/>
      <c r="R72" s="400"/>
      <c r="S72" s="400"/>
    </row>
    <row r="73" spans="1:23" x14ac:dyDescent="0.35">
      <c r="A73" s="126"/>
      <c r="B73" s="494"/>
      <c r="C73" s="495"/>
      <c r="D73" s="497"/>
      <c r="E73" s="495"/>
      <c r="F73" s="495"/>
      <c r="G73" s="495"/>
      <c r="H73" s="495"/>
      <c r="I73" s="495"/>
      <c r="J73" s="495"/>
      <c r="K73" s="495"/>
      <c r="L73" s="495"/>
      <c r="M73" s="495"/>
      <c r="N73" s="495"/>
      <c r="O73" s="495"/>
      <c r="P73" s="421"/>
      <c r="Q73" s="400"/>
      <c r="R73" s="400"/>
      <c r="S73" s="400"/>
      <c r="T73" s="400"/>
      <c r="U73" s="400"/>
      <c r="V73" s="400"/>
      <c r="W73" s="400"/>
    </row>
    <row r="74" spans="1:23" x14ac:dyDescent="0.35">
      <c r="A74" s="126"/>
      <c r="B74" s="183"/>
      <c r="C74" s="183"/>
      <c r="D74" s="498"/>
      <c r="E74" s="183"/>
      <c r="F74" s="499"/>
      <c r="G74" s="183"/>
      <c r="H74" s="498"/>
      <c r="I74" s="183"/>
      <c r="J74" s="183"/>
      <c r="K74" s="183"/>
      <c r="L74" s="183"/>
      <c r="M74" s="183"/>
      <c r="N74" s="183"/>
      <c r="O74" s="183"/>
      <c r="P74" s="400"/>
      <c r="Q74" s="400"/>
      <c r="R74" s="400"/>
      <c r="S74" s="400"/>
      <c r="T74" s="400"/>
      <c r="U74" s="400"/>
      <c r="V74" s="400"/>
      <c r="W74" s="400"/>
    </row>
    <row r="75" spans="1:23" x14ac:dyDescent="0.35">
      <c r="A75" s="126"/>
      <c r="B75" s="127"/>
      <c r="C75" s="500"/>
      <c r="D75" s="500"/>
      <c r="E75" s="500"/>
      <c r="F75" s="500"/>
      <c r="G75" s="500"/>
      <c r="H75" s="500"/>
      <c r="I75" s="500"/>
      <c r="J75" s="500"/>
      <c r="K75" s="500"/>
      <c r="L75" s="500"/>
      <c r="M75" s="500"/>
      <c r="N75" s="500"/>
      <c r="O75" s="500"/>
      <c r="P75" s="400"/>
      <c r="Q75" s="400"/>
      <c r="R75" s="400"/>
      <c r="S75" s="400"/>
      <c r="T75" s="400"/>
      <c r="U75" s="400"/>
      <c r="V75" s="400"/>
      <c r="W75" s="400"/>
    </row>
    <row r="76" spans="1:23" x14ac:dyDescent="0.35">
      <c r="A76" s="126"/>
      <c r="B76" s="127"/>
      <c r="C76" s="501"/>
      <c r="D76" s="501"/>
      <c r="E76" s="501"/>
      <c r="F76" s="501"/>
      <c r="G76" s="501"/>
      <c r="H76" s="501"/>
      <c r="I76" s="501"/>
      <c r="J76" s="501"/>
      <c r="K76" s="501"/>
      <c r="L76" s="501"/>
      <c r="M76" s="501"/>
      <c r="N76" s="501"/>
      <c r="O76" s="501"/>
      <c r="P76" s="400"/>
      <c r="Q76" s="400"/>
      <c r="R76" s="400"/>
      <c r="S76" s="400"/>
      <c r="T76" s="400"/>
      <c r="U76" s="400"/>
      <c r="V76" s="400"/>
      <c r="W76" s="400"/>
    </row>
    <row r="77" spans="1:23" x14ac:dyDescent="0.35">
      <c r="A77" s="126"/>
      <c r="B77" s="127"/>
      <c r="C77" s="501"/>
      <c r="D77" s="501"/>
      <c r="E77" s="501"/>
      <c r="F77" s="501"/>
      <c r="G77" s="501"/>
      <c r="H77" s="501"/>
      <c r="I77" s="501"/>
      <c r="J77" s="501"/>
      <c r="K77" s="501"/>
      <c r="L77" s="501"/>
      <c r="M77" s="501"/>
      <c r="N77" s="501"/>
      <c r="O77" s="501"/>
      <c r="P77" s="400"/>
      <c r="Q77" s="400"/>
      <c r="R77" s="400"/>
      <c r="S77" s="400"/>
      <c r="T77" s="400"/>
      <c r="U77" s="400"/>
      <c r="V77" s="400"/>
      <c r="W77" s="400"/>
    </row>
    <row r="78" spans="1:23" x14ac:dyDescent="0.35">
      <c r="A78" s="126"/>
      <c r="B78" s="127"/>
      <c r="C78" s="502"/>
      <c r="D78" s="502"/>
      <c r="E78" s="502"/>
      <c r="F78" s="502"/>
      <c r="G78" s="502"/>
      <c r="H78" s="502"/>
      <c r="I78" s="502"/>
      <c r="J78" s="502"/>
      <c r="K78" s="502"/>
      <c r="L78" s="502"/>
      <c r="M78" s="502"/>
      <c r="N78" s="502"/>
      <c r="O78" s="501"/>
      <c r="P78" s="400"/>
      <c r="Q78" s="400"/>
      <c r="R78" s="400"/>
      <c r="S78" s="400"/>
      <c r="T78" s="400"/>
      <c r="U78" s="400"/>
      <c r="V78" s="400"/>
      <c r="W78" s="400"/>
    </row>
    <row r="79" spans="1:23" x14ac:dyDescent="0.35">
      <c r="A79" s="126"/>
      <c r="B79" s="127"/>
      <c r="C79" s="501"/>
      <c r="D79" s="503"/>
      <c r="E79" s="501"/>
      <c r="F79" s="501"/>
      <c r="G79" s="501"/>
      <c r="H79" s="501"/>
      <c r="I79" s="501"/>
      <c r="J79" s="501"/>
      <c r="K79" s="501"/>
      <c r="L79" s="501"/>
      <c r="M79" s="501"/>
      <c r="N79" s="501"/>
      <c r="O79" s="501"/>
      <c r="P79" s="400"/>
      <c r="Q79" s="400"/>
      <c r="R79" s="400"/>
      <c r="S79" s="400"/>
      <c r="T79" s="400"/>
      <c r="U79" s="400"/>
      <c r="V79" s="400"/>
      <c r="W79" s="400"/>
    </row>
    <row r="80" spans="1:23" x14ac:dyDescent="0.35">
      <c r="A80" s="126"/>
      <c r="B80" s="400"/>
      <c r="C80" s="400"/>
      <c r="D80" s="504"/>
      <c r="E80" s="400"/>
      <c r="F80" s="505"/>
      <c r="G80" s="400"/>
      <c r="H80" s="504"/>
      <c r="I80" s="126"/>
      <c r="J80" s="126"/>
      <c r="K80" s="400"/>
      <c r="L80" s="400"/>
      <c r="M80" s="400"/>
      <c r="N80" s="400"/>
      <c r="O80" s="400"/>
      <c r="P80" s="400"/>
      <c r="Q80" s="400"/>
      <c r="R80" s="400"/>
      <c r="S80" s="400"/>
      <c r="T80" s="400"/>
      <c r="U80" s="400"/>
      <c r="V80" s="400"/>
      <c r="W80" s="400"/>
    </row>
    <row r="81" spans="1:23" x14ac:dyDescent="0.35">
      <c r="A81" s="126"/>
      <c r="B81" s="400"/>
      <c r="C81" s="400"/>
      <c r="D81" s="504"/>
      <c r="E81" s="400"/>
      <c r="F81" s="505"/>
      <c r="G81" s="400"/>
      <c r="H81" s="504"/>
      <c r="I81" s="126"/>
      <c r="J81" s="126"/>
      <c r="K81" s="400"/>
      <c r="L81" s="400"/>
      <c r="M81" s="400"/>
      <c r="N81" s="400"/>
      <c r="O81" s="400"/>
      <c r="P81" s="400"/>
      <c r="Q81" s="400"/>
      <c r="R81" s="400"/>
      <c r="S81" s="400"/>
      <c r="T81" s="400"/>
      <c r="U81" s="400"/>
      <c r="V81" s="400"/>
      <c r="W81" s="400"/>
    </row>
    <row r="82" spans="1:23" x14ac:dyDescent="0.35">
      <c r="A82" s="126"/>
      <c r="B82" s="400"/>
      <c r="C82" s="400"/>
      <c r="D82" s="504"/>
      <c r="E82" s="400"/>
      <c r="F82" s="505"/>
      <c r="G82" s="400"/>
      <c r="H82" s="504"/>
      <c r="I82" s="126"/>
      <c r="J82" s="126"/>
      <c r="K82" s="400"/>
      <c r="L82" s="400"/>
      <c r="M82" s="400"/>
      <c r="N82" s="400"/>
      <c r="O82" s="400"/>
      <c r="P82" s="400"/>
      <c r="Q82" s="400"/>
      <c r="R82" s="400"/>
      <c r="S82" s="400"/>
    </row>
  </sheetData>
  <sheetProtection formatColumns="0" formatRows="0"/>
  <mergeCells count="2">
    <mergeCell ref="B2:C2"/>
    <mergeCell ref="I2:K3"/>
  </mergeCells>
  <conditionalFormatting sqref="C14:H15 C9:D9 C25:H42 C10:C13 F9 H9">
    <cfRule type="expression" dxfId="25" priority="7" stopIfTrue="1">
      <formula>ISERROR(C9)</formula>
    </cfRule>
  </conditionalFormatting>
  <conditionalFormatting sqref="C58 E58 G58">
    <cfRule type="containsBlanks" dxfId="24" priority="6">
      <formula>LEN(TRIM(C58))=0</formula>
    </cfRule>
  </conditionalFormatting>
  <conditionalFormatting sqref="C17:C21">
    <cfRule type="expression" dxfId="23" priority="5" stopIfTrue="1">
      <formula>ISERROR(C17)</formula>
    </cfRule>
  </conditionalFormatting>
  <conditionalFormatting sqref="E9:E13">
    <cfRule type="expression" dxfId="22" priority="4" stopIfTrue="1">
      <formula>ISERROR(E9)</formula>
    </cfRule>
  </conditionalFormatting>
  <conditionalFormatting sqref="G9:G13">
    <cfRule type="expression" dxfId="21" priority="3" stopIfTrue="1">
      <formula>ISERROR(G9)</formula>
    </cfRule>
  </conditionalFormatting>
  <conditionalFormatting sqref="E17:E21">
    <cfRule type="expression" dxfId="20" priority="2" stopIfTrue="1">
      <formula>ISERROR(E17)</formula>
    </cfRule>
  </conditionalFormatting>
  <conditionalFormatting sqref="G17:G21">
    <cfRule type="expression" dxfId="19" priority="1" stopIfTrue="1">
      <formula>ISERROR(G17)</formula>
    </cfRule>
  </conditionalFormatting>
  <printOptions horizontalCentered="1" verticalCentered="1"/>
  <pageMargins left="0.7" right="0.7" top="0.75" bottom="0.75" header="0.3" footer="0.3"/>
  <pageSetup scale="58" orientation="landscape" r:id="rId1"/>
  <headerFooter scaleWithDoc="0">
    <oddHeader>&amp;C&amp;"Gill Sans MT,Regular"&amp;12Income Statement Years 1-3</oddHeader>
    <oddFooter>&amp;L&amp;"Gill Sans MT,Regular"&amp;12&amp;F&amp;C&amp;"Gill Sans MT,Regular"&amp;12&amp;A&amp;R&amp;"Gill Sans MT,Regular"&amp;12&amp;D &amp;T</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47"/>
  <sheetViews>
    <sheetView zoomScaleNormal="100" zoomScalePageLayoutView="60" workbookViewId="0">
      <selection activeCell="J32" sqref="J32"/>
    </sheetView>
  </sheetViews>
  <sheetFormatPr defaultColWidth="8.875" defaultRowHeight="15.75" x14ac:dyDescent="0.35"/>
  <cols>
    <col min="1" max="2" width="3.875" style="118" customWidth="1"/>
    <col min="3" max="3" width="41.75" style="120" bestFit="1" customWidth="1"/>
    <col min="4" max="4" width="15" style="120" bestFit="1" customWidth="1"/>
    <col min="5" max="6" width="16.75" style="120" bestFit="1" customWidth="1"/>
    <col min="7" max="9" width="8.875" style="118"/>
    <col min="10" max="256" width="8.875" style="120"/>
    <col min="257" max="258" width="3.875" style="120" customWidth="1"/>
    <col min="259" max="259" width="41.75" style="120" bestFit="1" customWidth="1"/>
    <col min="260" max="260" width="15" style="120" bestFit="1" customWidth="1"/>
    <col min="261" max="262" width="16.75" style="120" bestFit="1" customWidth="1"/>
    <col min="263" max="512" width="8.875" style="120"/>
    <col min="513" max="514" width="3.875" style="120" customWidth="1"/>
    <col min="515" max="515" width="41.75" style="120" bestFit="1" customWidth="1"/>
    <col min="516" max="516" width="15" style="120" bestFit="1" customWidth="1"/>
    <col min="517" max="518" width="16.75" style="120" bestFit="1" customWidth="1"/>
    <col min="519" max="768" width="8.875" style="120"/>
    <col min="769" max="770" width="3.875" style="120" customWidth="1"/>
    <col min="771" max="771" width="41.75" style="120" bestFit="1" customWidth="1"/>
    <col min="772" max="772" width="15" style="120" bestFit="1" customWidth="1"/>
    <col min="773" max="774" width="16.75" style="120" bestFit="1" customWidth="1"/>
    <col min="775" max="1024" width="8.875" style="120"/>
    <col min="1025" max="1026" width="3.875" style="120" customWidth="1"/>
    <col min="1027" max="1027" width="41.75" style="120" bestFit="1" customWidth="1"/>
    <col min="1028" max="1028" width="15" style="120" bestFit="1" customWidth="1"/>
    <col min="1029" max="1030" width="16.75" style="120" bestFit="1" customWidth="1"/>
    <col min="1031" max="1280" width="8.875" style="120"/>
    <col min="1281" max="1282" width="3.875" style="120" customWidth="1"/>
    <col min="1283" max="1283" width="41.75" style="120" bestFit="1" customWidth="1"/>
    <col min="1284" max="1284" width="15" style="120" bestFit="1" customWidth="1"/>
    <col min="1285" max="1286" width="16.75" style="120" bestFit="1" customWidth="1"/>
    <col min="1287" max="1536" width="8.875" style="120"/>
    <col min="1537" max="1538" width="3.875" style="120" customWidth="1"/>
    <col min="1539" max="1539" width="41.75" style="120" bestFit="1" customWidth="1"/>
    <col min="1540" max="1540" width="15" style="120" bestFit="1" customWidth="1"/>
    <col min="1541" max="1542" width="16.75" style="120" bestFit="1" customWidth="1"/>
    <col min="1543" max="1792" width="8.875" style="120"/>
    <col min="1793" max="1794" width="3.875" style="120" customWidth="1"/>
    <col min="1795" max="1795" width="41.75" style="120" bestFit="1" customWidth="1"/>
    <col min="1796" max="1796" width="15" style="120" bestFit="1" customWidth="1"/>
    <col min="1797" max="1798" width="16.75" style="120" bestFit="1" customWidth="1"/>
    <col min="1799" max="2048" width="8.875" style="120"/>
    <col min="2049" max="2050" width="3.875" style="120" customWidth="1"/>
    <col min="2051" max="2051" width="41.75" style="120" bestFit="1" customWidth="1"/>
    <col min="2052" max="2052" width="15" style="120" bestFit="1" customWidth="1"/>
    <col min="2053" max="2054" width="16.75" style="120" bestFit="1" customWidth="1"/>
    <col min="2055" max="2304" width="8.875" style="120"/>
    <col min="2305" max="2306" width="3.875" style="120" customWidth="1"/>
    <col min="2307" max="2307" width="41.75" style="120" bestFit="1" customWidth="1"/>
    <col min="2308" max="2308" width="15" style="120" bestFit="1" customWidth="1"/>
    <col min="2309" max="2310" width="16.75" style="120" bestFit="1" customWidth="1"/>
    <col min="2311" max="2560" width="8.875" style="120"/>
    <col min="2561" max="2562" width="3.875" style="120" customWidth="1"/>
    <col min="2563" max="2563" width="41.75" style="120" bestFit="1" customWidth="1"/>
    <col min="2564" max="2564" width="15" style="120" bestFit="1" customWidth="1"/>
    <col min="2565" max="2566" width="16.75" style="120" bestFit="1" customWidth="1"/>
    <col min="2567" max="2816" width="8.875" style="120"/>
    <col min="2817" max="2818" width="3.875" style="120" customWidth="1"/>
    <col min="2819" max="2819" width="41.75" style="120" bestFit="1" customWidth="1"/>
    <col min="2820" max="2820" width="15" style="120" bestFit="1" customWidth="1"/>
    <col min="2821" max="2822" width="16.75" style="120" bestFit="1" customWidth="1"/>
    <col min="2823" max="3072" width="8.875" style="120"/>
    <col min="3073" max="3074" width="3.875" style="120" customWidth="1"/>
    <col min="3075" max="3075" width="41.75" style="120" bestFit="1" customWidth="1"/>
    <col min="3076" max="3076" width="15" style="120" bestFit="1" customWidth="1"/>
    <col min="3077" max="3078" width="16.75" style="120" bestFit="1" customWidth="1"/>
    <col min="3079" max="3328" width="8.875" style="120"/>
    <col min="3329" max="3330" width="3.875" style="120" customWidth="1"/>
    <col min="3331" max="3331" width="41.75" style="120" bestFit="1" customWidth="1"/>
    <col min="3332" max="3332" width="15" style="120" bestFit="1" customWidth="1"/>
    <col min="3333" max="3334" width="16.75" style="120" bestFit="1" customWidth="1"/>
    <col min="3335" max="3584" width="8.875" style="120"/>
    <col min="3585" max="3586" width="3.875" style="120" customWidth="1"/>
    <col min="3587" max="3587" width="41.75" style="120" bestFit="1" customWidth="1"/>
    <col min="3588" max="3588" width="15" style="120" bestFit="1" customWidth="1"/>
    <col min="3589" max="3590" width="16.75" style="120" bestFit="1" customWidth="1"/>
    <col min="3591" max="3840" width="8.875" style="120"/>
    <col min="3841" max="3842" width="3.875" style="120" customWidth="1"/>
    <col min="3843" max="3843" width="41.75" style="120" bestFit="1" customWidth="1"/>
    <col min="3844" max="3844" width="15" style="120" bestFit="1" customWidth="1"/>
    <col min="3845" max="3846" width="16.75" style="120" bestFit="1" customWidth="1"/>
    <col min="3847" max="4096" width="8.875" style="120"/>
    <col min="4097" max="4098" width="3.875" style="120" customWidth="1"/>
    <col min="4099" max="4099" width="41.75" style="120" bestFit="1" customWidth="1"/>
    <col min="4100" max="4100" width="15" style="120" bestFit="1" customWidth="1"/>
    <col min="4101" max="4102" width="16.75" style="120" bestFit="1" customWidth="1"/>
    <col min="4103" max="4352" width="8.875" style="120"/>
    <col min="4353" max="4354" width="3.875" style="120" customWidth="1"/>
    <col min="4355" max="4355" width="41.75" style="120" bestFit="1" customWidth="1"/>
    <col min="4356" max="4356" width="15" style="120" bestFit="1" customWidth="1"/>
    <col min="4357" max="4358" width="16.75" style="120" bestFit="1" customWidth="1"/>
    <col min="4359" max="4608" width="8.875" style="120"/>
    <col min="4609" max="4610" width="3.875" style="120" customWidth="1"/>
    <col min="4611" max="4611" width="41.75" style="120" bestFit="1" customWidth="1"/>
    <col min="4612" max="4612" width="15" style="120" bestFit="1" customWidth="1"/>
    <col min="4613" max="4614" width="16.75" style="120" bestFit="1" customWidth="1"/>
    <col min="4615" max="4864" width="8.875" style="120"/>
    <col min="4865" max="4866" width="3.875" style="120" customWidth="1"/>
    <col min="4867" max="4867" width="41.75" style="120" bestFit="1" customWidth="1"/>
    <col min="4868" max="4868" width="15" style="120" bestFit="1" customWidth="1"/>
    <col min="4869" max="4870" width="16.75" style="120" bestFit="1" customWidth="1"/>
    <col min="4871" max="5120" width="8.875" style="120"/>
    <col min="5121" max="5122" width="3.875" style="120" customWidth="1"/>
    <col min="5123" max="5123" width="41.75" style="120" bestFit="1" customWidth="1"/>
    <col min="5124" max="5124" width="15" style="120" bestFit="1" customWidth="1"/>
    <col min="5125" max="5126" width="16.75" style="120" bestFit="1" customWidth="1"/>
    <col min="5127" max="5376" width="8.875" style="120"/>
    <col min="5377" max="5378" width="3.875" style="120" customWidth="1"/>
    <col min="5379" max="5379" width="41.75" style="120" bestFit="1" customWidth="1"/>
    <col min="5380" max="5380" width="15" style="120" bestFit="1" customWidth="1"/>
    <col min="5381" max="5382" width="16.75" style="120" bestFit="1" customWidth="1"/>
    <col min="5383" max="5632" width="8.875" style="120"/>
    <col min="5633" max="5634" width="3.875" style="120" customWidth="1"/>
    <col min="5635" max="5635" width="41.75" style="120" bestFit="1" customWidth="1"/>
    <col min="5636" max="5636" width="15" style="120" bestFit="1" customWidth="1"/>
    <col min="5637" max="5638" width="16.75" style="120" bestFit="1" customWidth="1"/>
    <col min="5639" max="5888" width="8.875" style="120"/>
    <col min="5889" max="5890" width="3.875" style="120" customWidth="1"/>
    <col min="5891" max="5891" width="41.75" style="120" bestFit="1" customWidth="1"/>
    <col min="5892" max="5892" width="15" style="120" bestFit="1" customWidth="1"/>
    <col min="5893" max="5894" width="16.75" style="120" bestFit="1" customWidth="1"/>
    <col min="5895" max="6144" width="8.875" style="120"/>
    <col min="6145" max="6146" width="3.875" style="120" customWidth="1"/>
    <col min="6147" max="6147" width="41.75" style="120" bestFit="1" customWidth="1"/>
    <col min="6148" max="6148" width="15" style="120" bestFit="1" customWidth="1"/>
    <col min="6149" max="6150" width="16.75" style="120" bestFit="1" customWidth="1"/>
    <col min="6151" max="6400" width="8.875" style="120"/>
    <col min="6401" max="6402" width="3.875" style="120" customWidth="1"/>
    <col min="6403" max="6403" width="41.75" style="120" bestFit="1" customWidth="1"/>
    <col min="6404" max="6404" width="15" style="120" bestFit="1" customWidth="1"/>
    <col min="6405" max="6406" width="16.75" style="120" bestFit="1" customWidth="1"/>
    <col min="6407" max="6656" width="8.875" style="120"/>
    <col min="6657" max="6658" width="3.875" style="120" customWidth="1"/>
    <col min="6659" max="6659" width="41.75" style="120" bestFit="1" customWidth="1"/>
    <col min="6660" max="6660" width="15" style="120" bestFit="1" customWidth="1"/>
    <col min="6661" max="6662" width="16.75" style="120" bestFit="1" customWidth="1"/>
    <col min="6663" max="6912" width="8.875" style="120"/>
    <col min="6913" max="6914" width="3.875" style="120" customWidth="1"/>
    <col min="6915" max="6915" width="41.75" style="120" bestFit="1" customWidth="1"/>
    <col min="6916" max="6916" width="15" style="120" bestFit="1" customWidth="1"/>
    <col min="6917" max="6918" width="16.75" style="120" bestFit="1" customWidth="1"/>
    <col min="6919" max="7168" width="8.875" style="120"/>
    <col min="7169" max="7170" width="3.875" style="120" customWidth="1"/>
    <col min="7171" max="7171" width="41.75" style="120" bestFit="1" customWidth="1"/>
    <col min="7172" max="7172" width="15" style="120" bestFit="1" customWidth="1"/>
    <col min="7173" max="7174" width="16.75" style="120" bestFit="1" customWidth="1"/>
    <col min="7175" max="7424" width="8.875" style="120"/>
    <col min="7425" max="7426" width="3.875" style="120" customWidth="1"/>
    <col min="7427" max="7427" width="41.75" style="120" bestFit="1" customWidth="1"/>
    <col min="7428" max="7428" width="15" style="120" bestFit="1" customWidth="1"/>
    <col min="7429" max="7430" width="16.75" style="120" bestFit="1" customWidth="1"/>
    <col min="7431" max="7680" width="8.875" style="120"/>
    <col min="7681" max="7682" width="3.875" style="120" customWidth="1"/>
    <col min="7683" max="7683" width="41.75" style="120" bestFit="1" customWidth="1"/>
    <col min="7684" max="7684" width="15" style="120" bestFit="1" customWidth="1"/>
    <col min="7685" max="7686" width="16.75" style="120" bestFit="1" customWidth="1"/>
    <col min="7687" max="7936" width="8.875" style="120"/>
    <col min="7937" max="7938" width="3.875" style="120" customWidth="1"/>
    <col min="7939" max="7939" width="41.75" style="120" bestFit="1" customWidth="1"/>
    <col min="7940" max="7940" width="15" style="120" bestFit="1" customWidth="1"/>
    <col min="7941" max="7942" width="16.75" style="120" bestFit="1" customWidth="1"/>
    <col min="7943" max="8192" width="8.875" style="120"/>
    <col min="8193" max="8194" width="3.875" style="120" customWidth="1"/>
    <col min="8195" max="8195" width="41.75" style="120" bestFit="1" customWidth="1"/>
    <col min="8196" max="8196" width="15" style="120" bestFit="1" customWidth="1"/>
    <col min="8197" max="8198" width="16.75" style="120" bestFit="1" customWidth="1"/>
    <col min="8199" max="8448" width="8.875" style="120"/>
    <col min="8449" max="8450" width="3.875" style="120" customWidth="1"/>
    <col min="8451" max="8451" width="41.75" style="120" bestFit="1" customWidth="1"/>
    <col min="8452" max="8452" width="15" style="120" bestFit="1" customWidth="1"/>
    <col min="8453" max="8454" width="16.75" style="120" bestFit="1" customWidth="1"/>
    <col min="8455" max="8704" width="8.875" style="120"/>
    <col min="8705" max="8706" width="3.875" style="120" customWidth="1"/>
    <col min="8707" max="8707" width="41.75" style="120" bestFit="1" customWidth="1"/>
    <col min="8708" max="8708" width="15" style="120" bestFit="1" customWidth="1"/>
    <col min="8709" max="8710" width="16.75" style="120" bestFit="1" customWidth="1"/>
    <col min="8711" max="8960" width="8.875" style="120"/>
    <col min="8961" max="8962" width="3.875" style="120" customWidth="1"/>
    <col min="8963" max="8963" width="41.75" style="120" bestFit="1" customWidth="1"/>
    <col min="8964" max="8964" width="15" style="120" bestFit="1" customWidth="1"/>
    <col min="8965" max="8966" width="16.75" style="120" bestFit="1" customWidth="1"/>
    <col min="8967" max="9216" width="8.875" style="120"/>
    <col min="9217" max="9218" width="3.875" style="120" customWidth="1"/>
    <col min="9219" max="9219" width="41.75" style="120" bestFit="1" customWidth="1"/>
    <col min="9220" max="9220" width="15" style="120" bestFit="1" customWidth="1"/>
    <col min="9221" max="9222" width="16.75" style="120" bestFit="1" customWidth="1"/>
    <col min="9223" max="9472" width="8.875" style="120"/>
    <col min="9473" max="9474" width="3.875" style="120" customWidth="1"/>
    <col min="9475" max="9475" width="41.75" style="120" bestFit="1" customWidth="1"/>
    <col min="9476" max="9476" width="15" style="120" bestFit="1" customWidth="1"/>
    <col min="9477" max="9478" width="16.75" style="120" bestFit="1" customWidth="1"/>
    <col min="9479" max="9728" width="8.875" style="120"/>
    <col min="9729" max="9730" width="3.875" style="120" customWidth="1"/>
    <col min="9731" max="9731" width="41.75" style="120" bestFit="1" customWidth="1"/>
    <col min="9732" max="9732" width="15" style="120" bestFit="1" customWidth="1"/>
    <col min="9733" max="9734" width="16.75" style="120" bestFit="1" customWidth="1"/>
    <col min="9735" max="9984" width="8.875" style="120"/>
    <col min="9985" max="9986" width="3.875" style="120" customWidth="1"/>
    <col min="9987" max="9987" width="41.75" style="120" bestFit="1" customWidth="1"/>
    <col min="9988" max="9988" width="15" style="120" bestFit="1" customWidth="1"/>
    <col min="9989" max="9990" width="16.75" style="120" bestFit="1" customWidth="1"/>
    <col min="9991" max="10240" width="8.875" style="120"/>
    <col min="10241" max="10242" width="3.875" style="120" customWidth="1"/>
    <col min="10243" max="10243" width="41.75" style="120" bestFit="1" customWidth="1"/>
    <col min="10244" max="10244" width="15" style="120" bestFit="1" customWidth="1"/>
    <col min="10245" max="10246" width="16.75" style="120" bestFit="1" customWidth="1"/>
    <col min="10247" max="10496" width="8.875" style="120"/>
    <col min="10497" max="10498" width="3.875" style="120" customWidth="1"/>
    <col min="10499" max="10499" width="41.75" style="120" bestFit="1" customWidth="1"/>
    <col min="10500" max="10500" width="15" style="120" bestFit="1" customWidth="1"/>
    <col min="10501" max="10502" width="16.75" style="120" bestFit="1" customWidth="1"/>
    <col min="10503" max="10752" width="8.875" style="120"/>
    <col min="10753" max="10754" width="3.875" style="120" customWidth="1"/>
    <col min="10755" max="10755" width="41.75" style="120" bestFit="1" customWidth="1"/>
    <col min="10756" max="10756" width="15" style="120" bestFit="1" customWidth="1"/>
    <col min="10757" max="10758" width="16.75" style="120" bestFit="1" customWidth="1"/>
    <col min="10759" max="11008" width="8.875" style="120"/>
    <col min="11009" max="11010" width="3.875" style="120" customWidth="1"/>
    <col min="11011" max="11011" width="41.75" style="120" bestFit="1" customWidth="1"/>
    <col min="11012" max="11012" width="15" style="120" bestFit="1" customWidth="1"/>
    <col min="11013" max="11014" width="16.75" style="120" bestFit="1" customWidth="1"/>
    <col min="11015" max="11264" width="8.875" style="120"/>
    <col min="11265" max="11266" width="3.875" style="120" customWidth="1"/>
    <col min="11267" max="11267" width="41.75" style="120" bestFit="1" customWidth="1"/>
    <col min="11268" max="11268" width="15" style="120" bestFit="1" customWidth="1"/>
    <col min="11269" max="11270" width="16.75" style="120" bestFit="1" customWidth="1"/>
    <col min="11271" max="11520" width="8.875" style="120"/>
    <col min="11521" max="11522" width="3.875" style="120" customWidth="1"/>
    <col min="11523" max="11523" width="41.75" style="120" bestFit="1" customWidth="1"/>
    <col min="11524" max="11524" width="15" style="120" bestFit="1" customWidth="1"/>
    <col min="11525" max="11526" width="16.75" style="120" bestFit="1" customWidth="1"/>
    <col min="11527" max="11776" width="8.875" style="120"/>
    <col min="11777" max="11778" width="3.875" style="120" customWidth="1"/>
    <col min="11779" max="11779" width="41.75" style="120" bestFit="1" customWidth="1"/>
    <col min="11780" max="11780" width="15" style="120" bestFit="1" customWidth="1"/>
    <col min="11781" max="11782" width="16.75" style="120" bestFit="1" customWidth="1"/>
    <col min="11783" max="12032" width="8.875" style="120"/>
    <col min="12033" max="12034" width="3.875" style="120" customWidth="1"/>
    <col min="12035" max="12035" width="41.75" style="120" bestFit="1" customWidth="1"/>
    <col min="12036" max="12036" width="15" style="120" bestFit="1" customWidth="1"/>
    <col min="12037" max="12038" width="16.75" style="120" bestFit="1" customWidth="1"/>
    <col min="12039" max="12288" width="8.875" style="120"/>
    <col min="12289" max="12290" width="3.875" style="120" customWidth="1"/>
    <col min="12291" max="12291" width="41.75" style="120" bestFit="1" customWidth="1"/>
    <col min="12292" max="12292" width="15" style="120" bestFit="1" customWidth="1"/>
    <col min="12293" max="12294" width="16.75" style="120" bestFit="1" customWidth="1"/>
    <col min="12295" max="12544" width="8.875" style="120"/>
    <col min="12545" max="12546" width="3.875" style="120" customWidth="1"/>
    <col min="12547" max="12547" width="41.75" style="120" bestFit="1" customWidth="1"/>
    <col min="12548" max="12548" width="15" style="120" bestFit="1" customWidth="1"/>
    <col min="12549" max="12550" width="16.75" style="120" bestFit="1" customWidth="1"/>
    <col min="12551" max="12800" width="8.875" style="120"/>
    <col min="12801" max="12802" width="3.875" style="120" customWidth="1"/>
    <col min="12803" max="12803" width="41.75" style="120" bestFit="1" customWidth="1"/>
    <col min="12804" max="12804" width="15" style="120" bestFit="1" customWidth="1"/>
    <col min="12805" max="12806" width="16.75" style="120" bestFit="1" customWidth="1"/>
    <col min="12807" max="13056" width="8.875" style="120"/>
    <col min="13057" max="13058" width="3.875" style="120" customWidth="1"/>
    <col min="13059" max="13059" width="41.75" style="120" bestFit="1" customWidth="1"/>
    <col min="13060" max="13060" width="15" style="120" bestFit="1" customWidth="1"/>
    <col min="13061" max="13062" width="16.75" style="120" bestFit="1" customWidth="1"/>
    <col min="13063" max="13312" width="8.875" style="120"/>
    <col min="13313" max="13314" width="3.875" style="120" customWidth="1"/>
    <col min="13315" max="13315" width="41.75" style="120" bestFit="1" customWidth="1"/>
    <col min="13316" max="13316" width="15" style="120" bestFit="1" customWidth="1"/>
    <col min="13317" max="13318" width="16.75" style="120" bestFit="1" customWidth="1"/>
    <col min="13319" max="13568" width="8.875" style="120"/>
    <col min="13569" max="13570" width="3.875" style="120" customWidth="1"/>
    <col min="13571" max="13571" width="41.75" style="120" bestFit="1" customWidth="1"/>
    <col min="13572" max="13572" width="15" style="120" bestFit="1" customWidth="1"/>
    <col min="13573" max="13574" width="16.75" style="120" bestFit="1" customWidth="1"/>
    <col min="13575" max="13824" width="8.875" style="120"/>
    <col min="13825" max="13826" width="3.875" style="120" customWidth="1"/>
    <col min="13827" max="13827" width="41.75" style="120" bestFit="1" customWidth="1"/>
    <col min="13828" max="13828" width="15" style="120" bestFit="1" customWidth="1"/>
    <col min="13829" max="13830" width="16.75" style="120" bestFit="1" customWidth="1"/>
    <col min="13831" max="14080" width="8.875" style="120"/>
    <col min="14081" max="14082" width="3.875" style="120" customWidth="1"/>
    <col min="14083" max="14083" width="41.75" style="120" bestFit="1" customWidth="1"/>
    <col min="14084" max="14084" width="15" style="120" bestFit="1" customWidth="1"/>
    <col min="14085" max="14086" width="16.75" style="120" bestFit="1" customWidth="1"/>
    <col min="14087" max="14336" width="8.875" style="120"/>
    <col min="14337" max="14338" width="3.875" style="120" customWidth="1"/>
    <col min="14339" max="14339" width="41.75" style="120" bestFit="1" customWidth="1"/>
    <col min="14340" max="14340" width="15" style="120" bestFit="1" customWidth="1"/>
    <col min="14341" max="14342" width="16.75" style="120" bestFit="1" customWidth="1"/>
    <col min="14343" max="14592" width="8.875" style="120"/>
    <col min="14593" max="14594" width="3.875" style="120" customWidth="1"/>
    <col min="14595" max="14595" width="41.75" style="120" bestFit="1" customWidth="1"/>
    <col min="14596" max="14596" width="15" style="120" bestFit="1" customWidth="1"/>
    <col min="14597" max="14598" width="16.75" style="120" bestFit="1" customWidth="1"/>
    <col min="14599" max="14848" width="8.875" style="120"/>
    <col min="14849" max="14850" width="3.875" style="120" customWidth="1"/>
    <col min="14851" max="14851" width="41.75" style="120" bestFit="1" customWidth="1"/>
    <col min="14852" max="14852" width="15" style="120" bestFit="1" customWidth="1"/>
    <col min="14853" max="14854" width="16.75" style="120" bestFit="1" customWidth="1"/>
    <col min="14855" max="15104" width="8.875" style="120"/>
    <col min="15105" max="15106" width="3.875" style="120" customWidth="1"/>
    <col min="15107" max="15107" width="41.75" style="120" bestFit="1" customWidth="1"/>
    <col min="15108" max="15108" width="15" style="120" bestFit="1" customWidth="1"/>
    <col min="15109" max="15110" width="16.75" style="120" bestFit="1" customWidth="1"/>
    <col min="15111" max="15360" width="8.875" style="120"/>
    <col min="15361" max="15362" width="3.875" style="120" customWidth="1"/>
    <col min="15363" max="15363" width="41.75" style="120" bestFit="1" customWidth="1"/>
    <col min="15364" max="15364" width="15" style="120" bestFit="1" customWidth="1"/>
    <col min="15365" max="15366" width="16.75" style="120" bestFit="1" customWidth="1"/>
    <col min="15367" max="15616" width="8.875" style="120"/>
    <col min="15617" max="15618" width="3.875" style="120" customWidth="1"/>
    <col min="15619" max="15619" width="41.75" style="120" bestFit="1" customWidth="1"/>
    <col min="15620" max="15620" width="15" style="120" bestFit="1" customWidth="1"/>
    <col min="15621" max="15622" width="16.75" style="120" bestFit="1" customWidth="1"/>
    <col min="15623" max="15872" width="8.875" style="120"/>
    <col min="15873" max="15874" width="3.875" style="120" customWidth="1"/>
    <col min="15875" max="15875" width="41.75" style="120" bestFit="1" customWidth="1"/>
    <col min="15876" max="15876" width="15" style="120" bestFit="1" customWidth="1"/>
    <col min="15877" max="15878" width="16.75" style="120" bestFit="1" customWidth="1"/>
    <col min="15879" max="16128" width="8.875" style="120"/>
    <col min="16129" max="16130" width="3.875" style="120" customWidth="1"/>
    <col min="16131" max="16131" width="41.75" style="120" bestFit="1" customWidth="1"/>
    <col min="16132" max="16132" width="15" style="120" bestFit="1" customWidth="1"/>
    <col min="16133" max="16134" width="16.75" style="120" bestFit="1" customWidth="1"/>
    <col min="16135" max="16384" width="8.875" style="120"/>
  </cols>
  <sheetData>
    <row r="1" spans="1:9" s="118" customFormat="1" x14ac:dyDescent="0.35"/>
    <row r="2" spans="1:9" x14ac:dyDescent="0.35">
      <c r="A2" s="120"/>
      <c r="B2" s="120"/>
      <c r="C2" s="124" t="s">
        <v>230</v>
      </c>
      <c r="D2" s="122"/>
      <c r="E2" s="118"/>
      <c r="F2" s="292"/>
      <c r="G2" s="120"/>
      <c r="H2" s="120"/>
      <c r="I2" s="120"/>
    </row>
    <row r="3" spans="1:9" x14ac:dyDescent="0.35">
      <c r="A3" s="120"/>
      <c r="B3" s="120"/>
      <c r="C3" s="122"/>
      <c r="D3" s="122"/>
      <c r="E3" s="118"/>
      <c r="F3" s="292"/>
      <c r="G3" s="120"/>
      <c r="H3" s="120"/>
      <c r="I3" s="120"/>
    </row>
    <row r="4" spans="1:9" ht="17.25" customHeight="1" x14ac:dyDescent="0.35">
      <c r="A4" s="120"/>
      <c r="B4" s="120"/>
      <c r="C4" s="124" t="s">
        <v>7</v>
      </c>
      <c r="D4" s="124" t="s">
        <v>8</v>
      </c>
      <c r="E4" s="118"/>
      <c r="F4" s="292"/>
      <c r="G4" s="120"/>
      <c r="H4" s="120"/>
      <c r="I4" s="120"/>
    </row>
    <row r="5" spans="1:9" x14ac:dyDescent="0.35">
      <c r="A5" s="120"/>
      <c r="B5" s="120"/>
      <c r="C5" s="174" t="str">
        <f>IF(ISBLANK(Directions!C6), "Owner", Directions!C6)</f>
        <v>Owner</v>
      </c>
      <c r="D5" s="174" t="str">
        <f>IF(ISBLANK(Directions!D6), "Company 1", Directions!D6)</f>
        <v>Company 1</v>
      </c>
      <c r="E5" s="118"/>
      <c r="F5" s="292"/>
      <c r="G5" s="120"/>
      <c r="H5" s="120"/>
      <c r="I5" s="120"/>
    </row>
    <row r="6" spans="1:9" s="118" customFormat="1" x14ac:dyDescent="0.35">
      <c r="F6" s="292"/>
    </row>
    <row r="7" spans="1:9" ht="16.5" thickBot="1" x14ac:dyDescent="0.4">
      <c r="A7" s="120"/>
      <c r="B7" s="120"/>
      <c r="C7" s="129" t="s">
        <v>231</v>
      </c>
      <c r="D7" s="178" t="str">
        <f>IF(Directions!F6&gt;0,Directions!F6,"First Year")</f>
        <v>First Year</v>
      </c>
      <c r="E7" s="178" t="str">
        <f>IF(Directions!F6&gt;0,Directions!F6+1,"Second Year")</f>
        <v>Second Year</v>
      </c>
      <c r="F7" s="178" t="str">
        <f>IF(Directions!F6&gt;0,Directions!F6+2,"Third Year")</f>
        <v>Third Year</v>
      </c>
      <c r="G7" s="120"/>
      <c r="H7" s="120"/>
      <c r="I7" s="120"/>
    </row>
    <row r="8" spans="1:9" ht="16.5" thickTop="1" x14ac:dyDescent="0.35">
      <c r="A8" s="120"/>
      <c r="B8" s="120"/>
      <c r="C8" s="131" t="s">
        <v>232</v>
      </c>
      <c r="D8" s="506"/>
      <c r="E8" s="506"/>
      <c r="F8" s="506"/>
      <c r="G8" s="120"/>
      <c r="H8" s="120"/>
      <c r="I8" s="120"/>
    </row>
    <row r="9" spans="1:9" x14ac:dyDescent="0.35">
      <c r="A9" s="120"/>
      <c r="B9" s="120"/>
      <c r="C9" s="386" t="s">
        <v>56</v>
      </c>
      <c r="D9" s="389">
        <f>Y1EndingCashBal</f>
        <v>0</v>
      </c>
      <c r="E9" s="389">
        <f>'6b-CashFlowYrs1-3'!N32</f>
        <v>0</v>
      </c>
      <c r="F9" s="389">
        <f>'6b-CashFlowYrs1-3'!AA32</f>
        <v>0</v>
      </c>
      <c r="G9" s="120"/>
      <c r="H9" s="120"/>
      <c r="I9" s="120"/>
    </row>
    <row r="10" spans="1:9" x14ac:dyDescent="0.35">
      <c r="A10" s="120"/>
      <c r="B10" s="120"/>
      <c r="C10" s="386" t="s">
        <v>233</v>
      </c>
      <c r="D10" s="389">
        <f>+'7a-IncomeStatementYear1'!O15-'6a-CashFlowYear1'!O12-'7a-IncomeStatementYear1'!O56</f>
        <v>0</v>
      </c>
      <c r="E10" s="389">
        <f>+D10+'7b-IncomeStatementYrs1-3'!E14-'6b-CashFlowYrs1-3'!O11-'7b-IncomeStatementYrs1-3'!E55</f>
        <v>0</v>
      </c>
      <c r="F10" s="389">
        <f>+E10+'7b-IncomeStatementYrs1-3'!G14-'6b-CashFlowYrs1-3'!AB11-'7b-IncomeStatementYrs1-3'!G55</f>
        <v>0</v>
      </c>
      <c r="G10" s="120"/>
      <c r="H10" s="120"/>
      <c r="I10" s="120"/>
    </row>
    <row r="11" spans="1:9" x14ac:dyDescent="0.35">
      <c r="A11" s="120"/>
      <c r="B11" s="120"/>
      <c r="C11" s="386" t="s">
        <v>25</v>
      </c>
      <c r="D11" s="389">
        <f>+Inventory+'6a-CashFlowYear1'!O17</f>
        <v>0</v>
      </c>
      <c r="E11" s="389">
        <f>+D11+'6b-CashFlowYrs1-3'!O16</f>
        <v>0</v>
      </c>
      <c r="F11" s="389">
        <f>+E11+'6b-CashFlowYrs1-3'!AB16</f>
        <v>0</v>
      </c>
      <c r="G11" s="120"/>
      <c r="H11" s="120"/>
      <c r="I11" s="120"/>
    </row>
    <row r="12" spans="1:9" x14ac:dyDescent="0.35">
      <c r="A12" s="120"/>
      <c r="B12" s="120"/>
      <c r="C12" s="386" t="s">
        <v>234</v>
      </c>
      <c r="D12" s="389">
        <f>+'Amortization&amp;Depreciation'!C132-'Amortization&amp;Depreciation'!C133</f>
        <v>0</v>
      </c>
      <c r="E12" s="389">
        <f>+D12-'Amortization&amp;Depreciation'!C133</f>
        <v>0</v>
      </c>
      <c r="F12" s="389">
        <f>+E12-'Amortization&amp;Depreciation'!C133</f>
        <v>0</v>
      </c>
      <c r="G12" s="120"/>
      <c r="H12" s="120"/>
      <c r="I12" s="120"/>
    </row>
    <row r="13" spans="1:9" x14ac:dyDescent="0.35">
      <c r="A13" s="120"/>
      <c r="B13" s="120"/>
      <c r="C13" s="386" t="s">
        <v>235</v>
      </c>
      <c r="D13" s="389">
        <f>+OtherStartUp-'Amortization&amp;Depreciation'!C135</f>
        <v>0</v>
      </c>
      <c r="E13" s="389">
        <f>+D13-'Amortization&amp;Depreciation'!C135</f>
        <v>0</v>
      </c>
      <c r="F13" s="389">
        <f>+E13-'Amortization&amp;Depreciation'!C135</f>
        <v>0</v>
      </c>
      <c r="G13" s="120"/>
      <c r="H13" s="120"/>
      <c r="I13" s="120"/>
    </row>
    <row r="14" spans="1:9" x14ac:dyDescent="0.35">
      <c r="A14" s="120"/>
      <c r="B14" s="120"/>
      <c r="C14" s="344" t="s">
        <v>236</v>
      </c>
      <c r="D14" s="397">
        <f>SUM(D9:D13)</f>
        <v>0</v>
      </c>
      <c r="E14" s="397">
        <f>SUM(E9:E13)</f>
        <v>0</v>
      </c>
      <c r="F14" s="397">
        <f>SUM(F9:F13)</f>
        <v>0</v>
      </c>
      <c r="G14" s="120"/>
      <c r="H14" s="120"/>
      <c r="I14" s="120"/>
    </row>
    <row r="15" spans="1:9" x14ac:dyDescent="0.35">
      <c r="A15" s="120"/>
      <c r="B15" s="120"/>
      <c r="C15" s="408"/>
      <c r="D15" s="507"/>
      <c r="E15" s="507"/>
      <c r="F15" s="507"/>
      <c r="G15" s="120"/>
      <c r="H15" s="120"/>
      <c r="I15" s="120"/>
    </row>
    <row r="16" spans="1:9" x14ac:dyDescent="0.35">
      <c r="A16" s="120"/>
      <c r="B16" s="120"/>
      <c r="C16" s="408" t="s">
        <v>9</v>
      </c>
      <c r="D16" s="508"/>
      <c r="E16" s="508"/>
      <c r="F16" s="508"/>
      <c r="G16" s="120"/>
      <c r="H16" s="120"/>
      <c r="I16" s="120"/>
    </row>
    <row r="17" spans="1:9" x14ac:dyDescent="0.35">
      <c r="A17" s="120"/>
      <c r="B17" s="120"/>
      <c r="C17" s="509" t="s">
        <v>237</v>
      </c>
      <c r="D17" s="389">
        <f>Land</f>
        <v>0</v>
      </c>
      <c r="E17" s="389">
        <f>Land</f>
        <v>0</v>
      </c>
      <c r="F17" s="389">
        <f>Land</f>
        <v>0</v>
      </c>
      <c r="I17" s="120"/>
    </row>
    <row r="18" spans="1:9" x14ac:dyDescent="0.35">
      <c r="A18" s="120"/>
      <c r="B18" s="120"/>
      <c r="C18" s="509" t="s">
        <v>238</v>
      </c>
      <c r="D18" s="389">
        <f>+'4-AdditionalInputs'!P29</f>
        <v>0</v>
      </c>
      <c r="E18" s="389">
        <f>+'4-AdditionalInputs'!P29+'4-AdditionalInputs'!Q29</f>
        <v>0</v>
      </c>
      <c r="F18" s="389">
        <f>+'4-AdditionalInputs'!P29+'4-AdditionalInputs'!Q29+'4-AdditionalInputs'!R29</f>
        <v>0</v>
      </c>
      <c r="I18" s="120"/>
    </row>
    <row r="19" spans="1:9" x14ac:dyDescent="0.35">
      <c r="A19" s="120"/>
      <c r="B19" s="120"/>
      <c r="C19" s="509" t="s">
        <v>16</v>
      </c>
      <c r="D19" s="389">
        <f>+'4-AdditionalInputs'!P30</f>
        <v>0</v>
      </c>
      <c r="E19" s="389">
        <f>+'4-AdditionalInputs'!P30+'4-AdditionalInputs'!Q30</f>
        <v>0</v>
      </c>
      <c r="F19" s="389">
        <f>+'4-AdditionalInputs'!P30+'4-AdditionalInputs'!Q30+'4-AdditionalInputs'!R30</f>
        <v>0</v>
      </c>
      <c r="I19" s="120"/>
    </row>
    <row r="20" spans="1:9" x14ac:dyDescent="0.35">
      <c r="A20" s="120"/>
      <c r="B20" s="120"/>
      <c r="C20" s="509" t="s">
        <v>17</v>
      </c>
      <c r="D20" s="389">
        <f>+'4-AdditionalInputs'!P31</f>
        <v>0</v>
      </c>
      <c r="E20" s="389">
        <f>+'4-AdditionalInputs'!P31+'4-AdditionalInputs'!Q31</f>
        <v>0</v>
      </c>
      <c r="F20" s="389">
        <f>+'4-AdditionalInputs'!P31+'4-AdditionalInputs'!Q31+'4-AdditionalInputs'!R31</f>
        <v>0</v>
      </c>
      <c r="I20" s="120"/>
    </row>
    <row r="21" spans="1:9" x14ac:dyDescent="0.35">
      <c r="A21" s="120"/>
      <c r="B21" s="120"/>
      <c r="C21" s="509" t="s">
        <v>18</v>
      </c>
      <c r="D21" s="389">
        <f>+'4-AdditionalInputs'!P32</f>
        <v>0</v>
      </c>
      <c r="E21" s="389">
        <f>+'4-AdditionalInputs'!P32+'4-AdditionalInputs'!Q32</f>
        <v>0</v>
      </c>
      <c r="F21" s="389">
        <f>+'4-AdditionalInputs'!P32+'4-AdditionalInputs'!Q32+'4-AdditionalInputs'!R32</f>
        <v>0</v>
      </c>
      <c r="I21" s="120"/>
    </row>
    <row r="22" spans="1:9" x14ac:dyDescent="0.35">
      <c r="A22" s="120"/>
      <c r="B22" s="120"/>
      <c r="C22" s="509" t="s">
        <v>19</v>
      </c>
      <c r="D22" s="389">
        <f>+'4-AdditionalInputs'!P33</f>
        <v>0</v>
      </c>
      <c r="E22" s="389">
        <f>+'4-AdditionalInputs'!P33+'4-AdditionalInputs'!Q33</f>
        <v>0</v>
      </c>
      <c r="F22" s="389">
        <f>+'4-AdditionalInputs'!P33+'4-AdditionalInputs'!Q33+'4-AdditionalInputs'!R33</f>
        <v>0</v>
      </c>
      <c r="I22" s="120"/>
    </row>
    <row r="23" spans="1:9" x14ac:dyDescent="0.35">
      <c r="A23" s="120"/>
      <c r="B23" s="120"/>
      <c r="C23" s="509" t="s">
        <v>239</v>
      </c>
      <c r="D23" s="389">
        <f>+'4-AdditionalInputs'!P34</f>
        <v>0</v>
      </c>
      <c r="E23" s="389">
        <f>+'4-AdditionalInputs'!P34+'4-AdditionalInputs'!Q34</f>
        <v>0</v>
      </c>
      <c r="F23" s="389">
        <f>+'4-AdditionalInputs'!P34+'4-AdditionalInputs'!Q34+'4-AdditionalInputs'!R34</f>
        <v>0</v>
      </c>
      <c r="I23" s="120"/>
    </row>
    <row r="24" spans="1:9" x14ac:dyDescent="0.35">
      <c r="A24" s="120"/>
      <c r="B24" s="120"/>
      <c r="C24" s="510" t="s">
        <v>21</v>
      </c>
      <c r="D24" s="397">
        <f>SUM(D17:D23)</f>
        <v>0</v>
      </c>
      <c r="E24" s="397">
        <f>SUM(E17:E23)</f>
        <v>0</v>
      </c>
      <c r="F24" s="397">
        <f>SUM(F17:F23)</f>
        <v>0</v>
      </c>
      <c r="I24" s="120"/>
    </row>
    <row r="25" spans="1:9" x14ac:dyDescent="0.35">
      <c r="A25" s="120"/>
      <c r="B25" s="120"/>
      <c r="C25" s="408" t="s">
        <v>240</v>
      </c>
      <c r="D25" s="388">
        <f>'Amortization&amp;Depreciation'!O119</f>
        <v>0</v>
      </c>
      <c r="E25" s="388">
        <f>+D25+'Amortization&amp;Depreciation'!O123</f>
        <v>0</v>
      </c>
      <c r="F25" s="388">
        <f>E25+'Amortization&amp;Depreciation'!O127</f>
        <v>0</v>
      </c>
      <c r="I25" s="120"/>
    </row>
    <row r="26" spans="1:9" x14ac:dyDescent="0.35">
      <c r="A26" s="120"/>
      <c r="B26" s="120"/>
      <c r="C26" s="511" t="s">
        <v>241</v>
      </c>
      <c r="D26" s="388">
        <f>INT(D24+D14-D25)</f>
        <v>0</v>
      </c>
      <c r="E26" s="388">
        <f>INT(E24+E14-E25)</f>
        <v>0</v>
      </c>
      <c r="F26" s="388">
        <f>INT(F24+F14-F25)</f>
        <v>0</v>
      </c>
      <c r="I26" s="120"/>
    </row>
    <row r="27" spans="1:9" x14ac:dyDescent="0.35">
      <c r="A27" s="120"/>
      <c r="B27" s="120"/>
      <c r="C27" s="408"/>
      <c r="D27" s="507"/>
      <c r="E27" s="507"/>
      <c r="F27" s="507"/>
      <c r="I27" s="120"/>
    </row>
    <row r="28" spans="1:9" ht="16.5" thickBot="1" x14ac:dyDescent="0.4">
      <c r="A28" s="120"/>
      <c r="B28" s="120"/>
      <c r="C28" s="129" t="s">
        <v>242</v>
      </c>
      <c r="D28" s="129"/>
      <c r="E28" s="129"/>
      <c r="F28" s="129"/>
      <c r="I28" s="120"/>
    </row>
    <row r="29" spans="1:9" ht="16.5" thickTop="1" x14ac:dyDescent="0.35">
      <c r="A29" s="120"/>
      <c r="B29" s="120"/>
      <c r="C29" s="512" t="s">
        <v>243</v>
      </c>
      <c r="D29" s="513"/>
      <c r="E29" s="513"/>
      <c r="F29" s="513"/>
      <c r="I29" s="120"/>
    </row>
    <row r="30" spans="1:9" x14ac:dyDescent="0.35">
      <c r="A30" s="120"/>
      <c r="B30" s="120"/>
      <c r="C30" s="509" t="s">
        <v>244</v>
      </c>
      <c r="D30" s="389">
        <f>+'7a-IncomeStatementYear1'!O23-'6a-CashFlowYear1'!O18</f>
        <v>0</v>
      </c>
      <c r="E30" s="389">
        <f>+D30+'7b-IncomeStatementYrs1-3'!E22-'6b-CashFlowYrs1-3'!O17</f>
        <v>0</v>
      </c>
      <c r="F30" s="389">
        <f>+E30+'7b-IncomeStatementYrs1-3'!G22-'6b-CashFlowYrs1-3'!AB17</f>
        <v>0</v>
      </c>
      <c r="I30" s="120"/>
    </row>
    <row r="31" spans="1:9" x14ac:dyDescent="0.35">
      <c r="A31" s="120"/>
      <c r="B31" s="120"/>
      <c r="C31" s="509" t="s">
        <v>245</v>
      </c>
      <c r="D31" s="389">
        <f>+'Amortization&amp;Depreciation'!N17</f>
        <v>0</v>
      </c>
      <c r="E31" s="389">
        <f>+'Amortization&amp;Depreciation'!N21</f>
        <v>0</v>
      </c>
      <c r="F31" s="389">
        <f>+'Amortization&amp;Depreciation'!N25</f>
        <v>0</v>
      </c>
      <c r="G31" s="514"/>
      <c r="H31" s="514"/>
      <c r="I31" s="120"/>
    </row>
    <row r="32" spans="1:9" x14ac:dyDescent="0.35">
      <c r="A32" s="120"/>
      <c r="B32" s="120"/>
      <c r="C32" s="509" t="s">
        <v>246</v>
      </c>
      <c r="D32" s="515">
        <f>+'Amortization&amp;Depreciation'!N37</f>
        <v>0</v>
      </c>
      <c r="E32" s="515">
        <f>+'Amortization&amp;Depreciation'!N41</f>
        <v>0</v>
      </c>
      <c r="F32" s="515">
        <f>+'Amortization&amp;Depreciation'!N45</f>
        <v>0</v>
      </c>
      <c r="G32" s="514"/>
      <c r="H32" s="514"/>
      <c r="I32" s="120"/>
    </row>
    <row r="33" spans="1:9" x14ac:dyDescent="0.35">
      <c r="A33" s="120"/>
      <c r="B33" s="120"/>
      <c r="C33" s="509" t="s">
        <v>247</v>
      </c>
      <c r="D33" s="515">
        <f>+'Amortization&amp;Depreciation'!N57</f>
        <v>0</v>
      </c>
      <c r="E33" s="515">
        <f>+'Amortization&amp;Depreciation'!N61</f>
        <v>0</v>
      </c>
      <c r="F33" s="515">
        <f>+'Amortization&amp;Depreciation'!N65</f>
        <v>0</v>
      </c>
      <c r="G33" s="514"/>
      <c r="H33" s="514"/>
      <c r="I33" s="120"/>
    </row>
    <row r="34" spans="1:9" x14ac:dyDescent="0.35">
      <c r="A34" s="120"/>
      <c r="B34" s="120"/>
      <c r="C34" s="509" t="s">
        <v>248</v>
      </c>
      <c r="D34" s="515">
        <f>+'Amortization&amp;Depreciation'!N77</f>
        <v>0</v>
      </c>
      <c r="E34" s="515">
        <f>+'Amortization&amp;Depreciation'!N81</f>
        <v>0</v>
      </c>
      <c r="F34" s="515">
        <f>+'Amortization&amp;Depreciation'!N85</f>
        <v>0</v>
      </c>
      <c r="G34" s="514"/>
      <c r="H34" s="514"/>
      <c r="I34" s="120"/>
    </row>
    <row r="35" spans="1:9" x14ac:dyDescent="0.35">
      <c r="A35" s="120"/>
      <c r="B35" s="120"/>
      <c r="C35" s="509" t="s">
        <v>249</v>
      </c>
      <c r="D35" s="515">
        <f>+'Amortization&amp;Depreciation'!N97</f>
        <v>0</v>
      </c>
      <c r="E35" s="515">
        <f>+'Amortization&amp;Depreciation'!N101</f>
        <v>0</v>
      </c>
      <c r="F35" s="515">
        <f>+'Amortization&amp;Depreciation'!N105</f>
        <v>0</v>
      </c>
      <c r="G35" s="514"/>
      <c r="H35" s="514"/>
      <c r="I35" s="120"/>
    </row>
    <row r="36" spans="1:9" x14ac:dyDescent="0.35">
      <c r="A36" s="120"/>
      <c r="B36" s="120"/>
      <c r="C36" s="509" t="s">
        <v>194</v>
      </c>
      <c r="D36" s="515">
        <f>+'6a-CashFlowYear1'!N34</f>
        <v>0</v>
      </c>
      <c r="E36" s="515">
        <f>+'6b-CashFlowYrs1-3'!N33</f>
        <v>0</v>
      </c>
      <c r="F36" s="515">
        <f>+'6b-CashFlowYrs1-3'!AA33</f>
        <v>0</v>
      </c>
      <c r="G36" s="514"/>
      <c r="H36" s="514"/>
      <c r="I36" s="120"/>
    </row>
    <row r="37" spans="1:9" x14ac:dyDescent="0.35">
      <c r="A37" s="120"/>
      <c r="B37" s="120"/>
      <c r="C37" s="510" t="s">
        <v>250</v>
      </c>
      <c r="D37" s="516">
        <f>SUM(D30:D36)</f>
        <v>0</v>
      </c>
      <c r="E37" s="516">
        <f>SUM(E30:E36)</f>
        <v>0</v>
      </c>
      <c r="F37" s="516">
        <f>SUM(F30:F36)</f>
        <v>0</v>
      </c>
      <c r="I37" s="120"/>
    </row>
    <row r="38" spans="1:9" x14ac:dyDescent="0.35">
      <c r="A38" s="120"/>
      <c r="B38" s="120"/>
      <c r="C38" s="408" t="s">
        <v>251</v>
      </c>
      <c r="D38" s="508"/>
      <c r="E38" s="508"/>
      <c r="F38" s="508"/>
      <c r="I38" s="120"/>
    </row>
    <row r="39" spans="1:9" x14ac:dyDescent="0.35">
      <c r="A39" s="120"/>
      <c r="B39" s="120"/>
      <c r="C39" s="509" t="s">
        <v>252</v>
      </c>
      <c r="D39" s="389">
        <f>OwnerEquity+OutsideInvest</f>
        <v>0</v>
      </c>
      <c r="E39" s="389">
        <f>OwnerEquity+OutsideInvest</f>
        <v>0</v>
      </c>
      <c r="F39" s="389">
        <f>OwnerEquity+OutsideInvest</f>
        <v>0</v>
      </c>
      <c r="I39" s="120"/>
    </row>
    <row r="40" spans="1:9" x14ac:dyDescent="0.35">
      <c r="A40" s="120"/>
      <c r="B40" s="120"/>
      <c r="C40" s="509" t="s">
        <v>253</v>
      </c>
      <c r="D40" s="389">
        <f>'7b-IncomeStatementYrs1-3'!C59</f>
        <v>0</v>
      </c>
      <c r="E40" s="389">
        <f>D40+NetIncomeY2</f>
        <v>0</v>
      </c>
      <c r="F40" s="389">
        <f>E40+NetIncomeY3</f>
        <v>0</v>
      </c>
      <c r="I40" s="120"/>
    </row>
    <row r="41" spans="1:9" x14ac:dyDescent="0.35">
      <c r="A41" s="120"/>
      <c r="B41" s="120"/>
      <c r="C41" s="509" t="s">
        <v>254</v>
      </c>
      <c r="D41" s="389">
        <f>'6a-CashFlowYear1'!O28+'6a-CashFlowYear1'!O25</f>
        <v>0</v>
      </c>
      <c r="E41" s="389">
        <f>+D41+'6b-CashFlowYrs1-3'!O27+'6b-CashFlowYrs1-3'!O24</f>
        <v>0</v>
      </c>
      <c r="F41" s="389">
        <f>+E41+'6b-CashFlowYrs1-3'!AB27+'6b-CashFlowYrs1-3'!AB24</f>
        <v>0</v>
      </c>
      <c r="I41" s="120"/>
    </row>
    <row r="42" spans="1:9" x14ac:dyDescent="0.35">
      <c r="A42" s="120"/>
      <c r="B42" s="120"/>
      <c r="C42" s="510" t="s">
        <v>255</v>
      </c>
      <c r="D42" s="397">
        <f>+D39+D40-D41</f>
        <v>0</v>
      </c>
      <c r="E42" s="397">
        <f>+E39+E40-E41</f>
        <v>0</v>
      </c>
      <c r="F42" s="397">
        <f>+F39+F40-F41</f>
        <v>0</v>
      </c>
      <c r="I42" s="120"/>
    </row>
    <row r="43" spans="1:9" x14ac:dyDescent="0.35">
      <c r="A43" s="120"/>
      <c r="B43" s="120"/>
      <c r="C43" s="384" t="s">
        <v>256</v>
      </c>
      <c r="D43" s="388">
        <f>INT(D37+D42)</f>
        <v>0</v>
      </c>
      <c r="E43" s="388">
        <f>INT(E37+E42)</f>
        <v>0</v>
      </c>
      <c r="F43" s="388">
        <f>INT(F37+F42)</f>
        <v>0</v>
      </c>
      <c r="I43" s="120"/>
    </row>
    <row r="44" spans="1:9" x14ac:dyDescent="0.35">
      <c r="A44" s="120"/>
      <c r="B44" s="120"/>
      <c r="C44" s="138"/>
      <c r="D44" s="517"/>
      <c r="E44" s="517"/>
      <c r="F44" s="517"/>
      <c r="I44" s="120"/>
    </row>
    <row r="45" spans="1:9" x14ac:dyDescent="0.35">
      <c r="A45" s="120"/>
      <c r="B45" s="120"/>
      <c r="C45" s="518" t="s">
        <v>257</v>
      </c>
      <c r="D45" s="388">
        <f>D26-D43</f>
        <v>0</v>
      </c>
      <c r="E45" s="388">
        <f>E26-E43</f>
        <v>0</v>
      </c>
      <c r="F45" s="388">
        <f>F26-F43</f>
        <v>0</v>
      </c>
      <c r="I45" s="120"/>
    </row>
    <row r="46" spans="1:9" x14ac:dyDescent="0.35">
      <c r="A46" s="120"/>
      <c r="B46" s="120"/>
      <c r="C46" s="518"/>
      <c r="D46" s="164" t="str">
        <f>IF(D45=0,"Balanced!", "Warning: Not Balanced")</f>
        <v>Balanced!</v>
      </c>
      <c r="E46" s="164" t="str">
        <f>IF(E45=0,"Balanced!", "Warning: Not Balanced")</f>
        <v>Balanced!</v>
      </c>
      <c r="F46" s="164" t="str">
        <f>IF(F45=0,"Balanced!", "Warning: Not Balanced")</f>
        <v>Balanced!</v>
      </c>
      <c r="I46" s="120"/>
    </row>
    <row r="47" spans="1:9" s="118" customFormat="1" x14ac:dyDescent="0.35"/>
  </sheetData>
  <sheetProtection formatColumns="0" formatRows="0"/>
  <mergeCells count="1">
    <mergeCell ref="C45:C46"/>
  </mergeCells>
  <conditionalFormatting sqref="D32:F37">
    <cfRule type="notContainsBlanks" dxfId="18" priority="12" stopIfTrue="1">
      <formula>LEN(TRIM(D32))&gt;0</formula>
    </cfRule>
    <cfRule type="containsBlanks" dxfId="17" priority="13" stopIfTrue="1">
      <formula>LEN(TRIM(D32))=0</formula>
    </cfRule>
  </conditionalFormatting>
  <conditionalFormatting sqref="D32:F37">
    <cfRule type="cellIs" dxfId="16" priority="11" stopIfTrue="1" operator="equal">
      <formula>#DIV/0!</formula>
    </cfRule>
  </conditionalFormatting>
  <conditionalFormatting sqref="E9:F9 D14 D11:F13 D25:F25 D17:F23">
    <cfRule type="expression" dxfId="15" priority="10" stopIfTrue="1">
      <formula>ISERROR(D9)</formula>
    </cfRule>
  </conditionalFormatting>
  <conditionalFormatting sqref="D43:F43">
    <cfRule type="expression" dxfId="14" priority="9" stopIfTrue="1">
      <formula>ISERROR(D43)</formula>
    </cfRule>
  </conditionalFormatting>
  <conditionalFormatting sqref="D45:F45">
    <cfRule type="expression" dxfId="13" priority="8" stopIfTrue="1">
      <formula>ISERROR(D45)</formula>
    </cfRule>
  </conditionalFormatting>
  <conditionalFormatting sqref="D30:F30">
    <cfRule type="expression" dxfId="12" priority="7" stopIfTrue="1">
      <formula>ISERROR(D30)</formula>
    </cfRule>
  </conditionalFormatting>
  <conditionalFormatting sqref="D26:F26">
    <cfRule type="expression" dxfId="11" priority="6" stopIfTrue="1">
      <formula>ISERROR(D26)</formula>
    </cfRule>
  </conditionalFormatting>
  <conditionalFormatting sqref="D24:F24">
    <cfRule type="expression" dxfId="10" priority="5" stopIfTrue="1">
      <formula>ISERROR(D24)</formula>
    </cfRule>
  </conditionalFormatting>
  <conditionalFormatting sqref="D9:D10 E10:F10">
    <cfRule type="expression" dxfId="9" priority="4" stopIfTrue="1">
      <formula>ISERROR(D9)</formula>
    </cfRule>
  </conditionalFormatting>
  <conditionalFormatting sqref="E14:F14">
    <cfRule type="expression" dxfId="8" priority="3" stopIfTrue="1">
      <formula>ISERROR(E14)</formula>
    </cfRule>
  </conditionalFormatting>
  <conditionalFormatting sqref="D31:F31">
    <cfRule type="expression" dxfId="7" priority="2" stopIfTrue="1">
      <formula>ISERROR(D31)</formula>
    </cfRule>
  </conditionalFormatting>
  <conditionalFormatting sqref="D46:F46">
    <cfRule type="containsText" dxfId="6" priority="1" operator="containsText" text="Warning:">
      <formula>NOT(ISERROR(SEARCH("Warning:",D46)))</formula>
    </cfRule>
  </conditionalFormatting>
  <printOptions horizontalCentered="1" verticalCentered="1"/>
  <pageMargins left="0.25" right="0.25" top="0.75" bottom="0.75" header="0.3" footer="0.3"/>
  <pageSetup scale="81" orientation="landscape" r:id="rId1"/>
  <headerFooter scaleWithDoc="0">
    <oddHeader>&amp;C&amp;"Gill Sans MT,Regular"&amp;12Balance Sheet Years 1-3</oddHeader>
    <oddFooter>&amp;L&amp;"Gill Sans MT,Regular"&amp;12&amp;F&amp;C&amp;"Gill Sans MT,Regular"&amp;12&amp;A&amp;R&amp;"Gill Sans MT,Regular"&amp;12&amp;D &amp;T</oddFooter>
  </headerFooter>
  <rowBreaks count="1" manualBreakCount="1">
    <brk id="4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BC4C7"/>
    <pageSetUpPr fitToPage="1"/>
  </sheetPr>
  <dimension ref="A1:K48"/>
  <sheetViews>
    <sheetView topLeftCell="A13" zoomScaleNormal="100" workbookViewId="0">
      <selection activeCell="J32" sqref="J32"/>
    </sheetView>
  </sheetViews>
  <sheetFormatPr defaultColWidth="9.125" defaultRowHeight="15.75" x14ac:dyDescent="0.35"/>
  <cols>
    <col min="1" max="1" width="9.125" style="126"/>
    <col min="2" max="2" width="36.375" style="400" customWidth="1"/>
    <col min="3" max="3" width="17" style="400" bestFit="1" customWidth="1"/>
    <col min="4" max="4" width="14.875" style="556" bestFit="1" customWidth="1"/>
    <col min="5" max="5" width="9.125" style="126"/>
    <col min="6" max="257" width="9.125" style="400"/>
    <col min="258" max="258" width="36.375" style="400" customWidth="1"/>
    <col min="259" max="259" width="17" style="400" bestFit="1" customWidth="1"/>
    <col min="260" max="260" width="14.875" style="400" bestFit="1" customWidth="1"/>
    <col min="261" max="513" width="9.125" style="400"/>
    <col min="514" max="514" width="36.375" style="400" customWidth="1"/>
    <col min="515" max="515" width="17" style="400" bestFit="1" customWidth="1"/>
    <col min="516" max="516" width="14.875" style="400" bestFit="1" customWidth="1"/>
    <col min="517" max="769" width="9.125" style="400"/>
    <col min="770" max="770" width="36.375" style="400" customWidth="1"/>
    <col min="771" max="771" width="17" style="400" bestFit="1" customWidth="1"/>
    <col min="772" max="772" width="14.875" style="400" bestFit="1" customWidth="1"/>
    <col min="773" max="1025" width="9.125" style="400"/>
    <col min="1026" max="1026" width="36.375" style="400" customWidth="1"/>
    <col min="1027" max="1027" width="17" style="400" bestFit="1" customWidth="1"/>
    <col min="1028" max="1028" width="14.875" style="400" bestFit="1" customWidth="1"/>
    <col min="1029" max="1281" width="9.125" style="400"/>
    <col min="1282" max="1282" width="36.375" style="400" customWidth="1"/>
    <col min="1283" max="1283" width="17" style="400" bestFit="1" customWidth="1"/>
    <col min="1284" max="1284" width="14.875" style="400" bestFit="1" customWidth="1"/>
    <col min="1285" max="1537" width="9.125" style="400"/>
    <col min="1538" max="1538" width="36.375" style="400" customWidth="1"/>
    <col min="1539" max="1539" width="17" style="400" bestFit="1" customWidth="1"/>
    <col min="1540" max="1540" width="14.875" style="400" bestFit="1" customWidth="1"/>
    <col min="1541" max="1793" width="9.125" style="400"/>
    <col min="1794" max="1794" width="36.375" style="400" customWidth="1"/>
    <col min="1795" max="1795" width="17" style="400" bestFit="1" customWidth="1"/>
    <col min="1796" max="1796" width="14.875" style="400" bestFit="1" customWidth="1"/>
    <col min="1797" max="2049" width="9.125" style="400"/>
    <col min="2050" max="2050" width="36.375" style="400" customWidth="1"/>
    <col min="2051" max="2051" width="17" style="400" bestFit="1" customWidth="1"/>
    <col min="2052" max="2052" width="14.875" style="400" bestFit="1" customWidth="1"/>
    <col min="2053" max="2305" width="9.125" style="400"/>
    <col min="2306" max="2306" width="36.375" style="400" customWidth="1"/>
    <col min="2307" max="2307" width="17" style="400" bestFit="1" customWidth="1"/>
    <col min="2308" max="2308" width="14.875" style="400" bestFit="1" customWidth="1"/>
    <col min="2309" max="2561" width="9.125" style="400"/>
    <col min="2562" max="2562" width="36.375" style="400" customWidth="1"/>
    <col min="2563" max="2563" width="17" style="400" bestFit="1" customWidth="1"/>
    <col min="2564" max="2564" width="14.875" style="400" bestFit="1" customWidth="1"/>
    <col min="2565" max="2817" width="9.125" style="400"/>
    <col min="2818" max="2818" width="36.375" style="400" customWidth="1"/>
    <col min="2819" max="2819" width="17" style="400" bestFit="1" customWidth="1"/>
    <col min="2820" max="2820" width="14.875" style="400" bestFit="1" customWidth="1"/>
    <col min="2821" max="3073" width="9.125" style="400"/>
    <col min="3074" max="3074" width="36.375" style="400" customWidth="1"/>
    <col min="3075" max="3075" width="17" style="400" bestFit="1" customWidth="1"/>
    <col min="3076" max="3076" width="14.875" style="400" bestFit="1" customWidth="1"/>
    <col min="3077" max="3329" width="9.125" style="400"/>
    <col min="3330" max="3330" width="36.375" style="400" customWidth="1"/>
    <col min="3331" max="3331" width="17" style="400" bestFit="1" customWidth="1"/>
    <col min="3332" max="3332" width="14.875" style="400" bestFit="1" customWidth="1"/>
    <col min="3333" max="3585" width="9.125" style="400"/>
    <col min="3586" max="3586" width="36.375" style="400" customWidth="1"/>
    <col min="3587" max="3587" width="17" style="400" bestFit="1" customWidth="1"/>
    <col min="3588" max="3588" width="14.875" style="400" bestFit="1" customWidth="1"/>
    <col min="3589" max="3841" width="9.125" style="400"/>
    <col min="3842" max="3842" width="36.375" style="400" customWidth="1"/>
    <col min="3843" max="3843" width="17" style="400" bestFit="1" customWidth="1"/>
    <col min="3844" max="3844" width="14.875" style="400" bestFit="1" customWidth="1"/>
    <col min="3845" max="4097" width="9.125" style="400"/>
    <col min="4098" max="4098" width="36.375" style="400" customWidth="1"/>
    <col min="4099" max="4099" width="17" style="400" bestFit="1" customWidth="1"/>
    <col min="4100" max="4100" width="14.875" style="400" bestFit="1" customWidth="1"/>
    <col min="4101" max="4353" width="9.125" style="400"/>
    <col min="4354" max="4354" width="36.375" style="400" customWidth="1"/>
    <col min="4355" max="4355" width="17" style="400" bestFit="1" customWidth="1"/>
    <col min="4356" max="4356" width="14.875" style="400" bestFit="1" customWidth="1"/>
    <col min="4357" max="4609" width="9.125" style="400"/>
    <col min="4610" max="4610" width="36.375" style="400" customWidth="1"/>
    <col min="4611" max="4611" width="17" style="400" bestFit="1" customWidth="1"/>
    <col min="4612" max="4612" width="14.875" style="400" bestFit="1" customWidth="1"/>
    <col min="4613" max="4865" width="9.125" style="400"/>
    <col min="4866" max="4866" width="36.375" style="400" customWidth="1"/>
    <col min="4867" max="4867" width="17" style="400" bestFit="1" customWidth="1"/>
    <col min="4868" max="4868" width="14.875" style="400" bestFit="1" customWidth="1"/>
    <col min="4869" max="5121" width="9.125" style="400"/>
    <col min="5122" max="5122" width="36.375" style="400" customWidth="1"/>
    <col min="5123" max="5123" width="17" style="400" bestFit="1" customWidth="1"/>
    <col min="5124" max="5124" width="14.875" style="400" bestFit="1" customWidth="1"/>
    <col min="5125" max="5377" width="9.125" style="400"/>
    <col min="5378" max="5378" width="36.375" style="400" customWidth="1"/>
    <col min="5379" max="5379" width="17" style="400" bestFit="1" customWidth="1"/>
    <col min="5380" max="5380" width="14.875" style="400" bestFit="1" customWidth="1"/>
    <col min="5381" max="5633" width="9.125" style="400"/>
    <col min="5634" max="5634" width="36.375" style="400" customWidth="1"/>
    <col min="5635" max="5635" width="17" style="400" bestFit="1" customWidth="1"/>
    <col min="5636" max="5636" width="14.875" style="400" bestFit="1" customWidth="1"/>
    <col min="5637" max="5889" width="9.125" style="400"/>
    <col min="5890" max="5890" width="36.375" style="400" customWidth="1"/>
    <col min="5891" max="5891" width="17" style="400" bestFit="1" customWidth="1"/>
    <col min="5892" max="5892" width="14.875" style="400" bestFit="1" customWidth="1"/>
    <col min="5893" max="6145" width="9.125" style="400"/>
    <col min="6146" max="6146" width="36.375" style="400" customWidth="1"/>
    <col min="6147" max="6147" width="17" style="400" bestFit="1" customWidth="1"/>
    <col min="6148" max="6148" width="14.875" style="400" bestFit="1" customWidth="1"/>
    <col min="6149" max="6401" width="9.125" style="400"/>
    <col min="6402" max="6402" width="36.375" style="400" customWidth="1"/>
    <col min="6403" max="6403" width="17" style="400" bestFit="1" customWidth="1"/>
    <col min="6404" max="6404" width="14.875" style="400" bestFit="1" customWidth="1"/>
    <col min="6405" max="6657" width="9.125" style="400"/>
    <col min="6658" max="6658" width="36.375" style="400" customWidth="1"/>
    <col min="6659" max="6659" width="17" style="400" bestFit="1" customWidth="1"/>
    <col min="6660" max="6660" width="14.875" style="400" bestFit="1" customWidth="1"/>
    <col min="6661" max="6913" width="9.125" style="400"/>
    <col min="6914" max="6914" width="36.375" style="400" customWidth="1"/>
    <col min="6915" max="6915" width="17" style="400" bestFit="1" customWidth="1"/>
    <col min="6916" max="6916" width="14.875" style="400" bestFit="1" customWidth="1"/>
    <col min="6917" max="7169" width="9.125" style="400"/>
    <col min="7170" max="7170" width="36.375" style="400" customWidth="1"/>
    <col min="7171" max="7171" width="17" style="400" bestFit="1" customWidth="1"/>
    <col min="7172" max="7172" width="14.875" style="400" bestFit="1" customWidth="1"/>
    <col min="7173" max="7425" width="9.125" style="400"/>
    <col min="7426" max="7426" width="36.375" style="400" customWidth="1"/>
    <col min="7427" max="7427" width="17" style="400" bestFit="1" customWidth="1"/>
    <col min="7428" max="7428" width="14.875" style="400" bestFit="1" customWidth="1"/>
    <col min="7429" max="7681" width="9.125" style="400"/>
    <col min="7682" max="7682" width="36.375" style="400" customWidth="1"/>
    <col min="7683" max="7683" width="17" style="400" bestFit="1" customWidth="1"/>
    <col min="7684" max="7684" width="14.875" style="400" bestFit="1" customWidth="1"/>
    <col min="7685" max="7937" width="9.125" style="400"/>
    <col min="7938" max="7938" width="36.375" style="400" customWidth="1"/>
    <col min="7939" max="7939" width="17" style="400" bestFit="1" customWidth="1"/>
    <col min="7940" max="7940" width="14.875" style="400" bestFit="1" customWidth="1"/>
    <col min="7941" max="8193" width="9.125" style="400"/>
    <col min="8194" max="8194" width="36.375" style="400" customWidth="1"/>
    <col min="8195" max="8195" width="17" style="400" bestFit="1" customWidth="1"/>
    <col min="8196" max="8196" width="14.875" style="400" bestFit="1" customWidth="1"/>
    <col min="8197" max="8449" width="9.125" style="400"/>
    <col min="8450" max="8450" width="36.375" style="400" customWidth="1"/>
    <col min="8451" max="8451" width="17" style="400" bestFit="1" customWidth="1"/>
    <col min="8452" max="8452" width="14.875" style="400" bestFit="1" customWidth="1"/>
    <col min="8453" max="8705" width="9.125" style="400"/>
    <col min="8706" max="8706" width="36.375" style="400" customWidth="1"/>
    <col min="8707" max="8707" width="17" style="400" bestFit="1" customWidth="1"/>
    <col min="8708" max="8708" width="14.875" style="400" bestFit="1" customWidth="1"/>
    <col min="8709" max="8961" width="9.125" style="400"/>
    <col min="8962" max="8962" width="36.375" style="400" customWidth="1"/>
    <col min="8963" max="8963" width="17" style="400" bestFit="1" customWidth="1"/>
    <col min="8964" max="8964" width="14.875" style="400" bestFit="1" customWidth="1"/>
    <col min="8965" max="9217" width="9.125" style="400"/>
    <col min="9218" max="9218" width="36.375" style="400" customWidth="1"/>
    <col min="9219" max="9219" width="17" style="400" bestFit="1" customWidth="1"/>
    <col min="9220" max="9220" width="14.875" style="400" bestFit="1" customWidth="1"/>
    <col min="9221" max="9473" width="9.125" style="400"/>
    <col min="9474" max="9474" width="36.375" style="400" customWidth="1"/>
    <col min="9475" max="9475" width="17" style="400" bestFit="1" customWidth="1"/>
    <col min="9476" max="9476" width="14.875" style="400" bestFit="1" customWidth="1"/>
    <col min="9477" max="9729" width="9.125" style="400"/>
    <col min="9730" max="9730" width="36.375" style="400" customWidth="1"/>
    <col min="9731" max="9731" width="17" style="400" bestFit="1" customWidth="1"/>
    <col min="9732" max="9732" width="14.875" style="400" bestFit="1" customWidth="1"/>
    <col min="9733" max="9985" width="9.125" style="400"/>
    <col min="9986" max="9986" width="36.375" style="400" customWidth="1"/>
    <col min="9987" max="9987" width="17" style="400" bestFit="1" customWidth="1"/>
    <col min="9988" max="9988" width="14.875" style="400" bestFit="1" customWidth="1"/>
    <col min="9989" max="10241" width="9.125" style="400"/>
    <col min="10242" max="10242" width="36.375" style="400" customWidth="1"/>
    <col min="10243" max="10243" width="17" style="400" bestFit="1" customWidth="1"/>
    <col min="10244" max="10244" width="14.875" style="400" bestFit="1" customWidth="1"/>
    <col min="10245" max="10497" width="9.125" style="400"/>
    <col min="10498" max="10498" width="36.375" style="400" customWidth="1"/>
    <col min="10499" max="10499" width="17" style="400" bestFit="1" customWidth="1"/>
    <col min="10500" max="10500" width="14.875" style="400" bestFit="1" customWidth="1"/>
    <col min="10501" max="10753" width="9.125" style="400"/>
    <col min="10754" max="10754" width="36.375" style="400" customWidth="1"/>
    <col min="10755" max="10755" width="17" style="400" bestFit="1" customWidth="1"/>
    <col min="10756" max="10756" width="14.875" style="400" bestFit="1" customWidth="1"/>
    <col min="10757" max="11009" width="9.125" style="400"/>
    <col min="11010" max="11010" width="36.375" style="400" customWidth="1"/>
    <col min="11011" max="11011" width="17" style="400" bestFit="1" customWidth="1"/>
    <col min="11012" max="11012" width="14.875" style="400" bestFit="1" customWidth="1"/>
    <col min="11013" max="11265" width="9.125" style="400"/>
    <col min="11266" max="11266" width="36.375" style="400" customWidth="1"/>
    <col min="11267" max="11267" width="17" style="400" bestFit="1" customWidth="1"/>
    <col min="11268" max="11268" width="14.875" style="400" bestFit="1" customWidth="1"/>
    <col min="11269" max="11521" width="9.125" style="400"/>
    <col min="11522" max="11522" width="36.375" style="400" customWidth="1"/>
    <col min="11523" max="11523" width="17" style="400" bestFit="1" customWidth="1"/>
    <col min="11524" max="11524" width="14.875" style="400" bestFit="1" customWidth="1"/>
    <col min="11525" max="11777" width="9.125" style="400"/>
    <col min="11778" max="11778" width="36.375" style="400" customWidth="1"/>
    <col min="11779" max="11779" width="17" style="400" bestFit="1" customWidth="1"/>
    <col min="11780" max="11780" width="14.875" style="400" bestFit="1" customWidth="1"/>
    <col min="11781" max="12033" width="9.125" style="400"/>
    <col min="12034" max="12034" width="36.375" style="400" customWidth="1"/>
    <col min="12035" max="12035" width="17" style="400" bestFit="1" customWidth="1"/>
    <col min="12036" max="12036" width="14.875" style="400" bestFit="1" customWidth="1"/>
    <col min="12037" max="12289" width="9.125" style="400"/>
    <col min="12290" max="12290" width="36.375" style="400" customWidth="1"/>
    <col min="12291" max="12291" width="17" style="400" bestFit="1" customWidth="1"/>
    <col min="12292" max="12292" width="14.875" style="400" bestFit="1" customWidth="1"/>
    <col min="12293" max="12545" width="9.125" style="400"/>
    <col min="12546" max="12546" width="36.375" style="400" customWidth="1"/>
    <col min="12547" max="12547" width="17" style="400" bestFit="1" customWidth="1"/>
    <col min="12548" max="12548" width="14.875" style="400" bestFit="1" customWidth="1"/>
    <col min="12549" max="12801" width="9.125" style="400"/>
    <col min="12802" max="12802" width="36.375" style="400" customWidth="1"/>
    <col min="12803" max="12803" width="17" style="400" bestFit="1" customWidth="1"/>
    <col min="12804" max="12804" width="14.875" style="400" bestFit="1" customWidth="1"/>
    <col min="12805" max="13057" width="9.125" style="400"/>
    <col min="13058" max="13058" width="36.375" style="400" customWidth="1"/>
    <col min="13059" max="13059" width="17" style="400" bestFit="1" customWidth="1"/>
    <col min="13060" max="13060" width="14.875" style="400" bestFit="1" customWidth="1"/>
    <col min="13061" max="13313" width="9.125" style="400"/>
    <col min="13314" max="13314" width="36.375" style="400" customWidth="1"/>
    <col min="13315" max="13315" width="17" style="400" bestFit="1" customWidth="1"/>
    <col min="13316" max="13316" width="14.875" style="400" bestFit="1" customWidth="1"/>
    <col min="13317" max="13569" width="9.125" style="400"/>
    <col min="13570" max="13570" width="36.375" style="400" customWidth="1"/>
    <col min="13571" max="13571" width="17" style="400" bestFit="1" customWidth="1"/>
    <col min="13572" max="13572" width="14.875" style="400" bestFit="1" customWidth="1"/>
    <col min="13573" max="13825" width="9.125" style="400"/>
    <col min="13826" max="13826" width="36.375" style="400" customWidth="1"/>
    <col min="13827" max="13827" width="17" style="400" bestFit="1" customWidth="1"/>
    <col min="13828" max="13828" width="14.875" style="400" bestFit="1" customWidth="1"/>
    <col min="13829" max="14081" width="9.125" style="400"/>
    <col min="14082" max="14082" width="36.375" style="400" customWidth="1"/>
    <col min="14083" max="14083" width="17" style="400" bestFit="1" customWidth="1"/>
    <col min="14084" max="14084" width="14.875" style="400" bestFit="1" customWidth="1"/>
    <col min="14085" max="14337" width="9.125" style="400"/>
    <col min="14338" max="14338" width="36.375" style="400" customWidth="1"/>
    <col min="14339" max="14339" width="17" style="400" bestFit="1" customWidth="1"/>
    <col min="14340" max="14340" width="14.875" style="400" bestFit="1" customWidth="1"/>
    <col min="14341" max="14593" width="9.125" style="400"/>
    <col min="14594" max="14594" width="36.375" style="400" customWidth="1"/>
    <col min="14595" max="14595" width="17" style="400" bestFit="1" customWidth="1"/>
    <col min="14596" max="14596" width="14.875" style="400" bestFit="1" customWidth="1"/>
    <col min="14597" max="14849" width="9.125" style="400"/>
    <col min="14850" max="14850" width="36.375" style="400" customWidth="1"/>
    <col min="14851" max="14851" width="17" style="400" bestFit="1" customWidth="1"/>
    <col min="14852" max="14852" width="14.875" style="400" bestFit="1" customWidth="1"/>
    <col min="14853" max="15105" width="9.125" style="400"/>
    <col min="15106" max="15106" width="36.375" style="400" customWidth="1"/>
    <col min="15107" max="15107" width="17" style="400" bestFit="1" customWidth="1"/>
    <col min="15108" max="15108" width="14.875" style="400" bestFit="1" customWidth="1"/>
    <col min="15109" max="15361" width="9.125" style="400"/>
    <col min="15362" max="15362" width="36.375" style="400" customWidth="1"/>
    <col min="15363" max="15363" width="17" style="400" bestFit="1" customWidth="1"/>
    <col min="15364" max="15364" width="14.875" style="400" bestFit="1" customWidth="1"/>
    <col min="15365" max="15617" width="9.125" style="400"/>
    <col min="15618" max="15618" width="36.375" style="400" customWidth="1"/>
    <col min="15619" max="15619" width="17" style="400" bestFit="1" customWidth="1"/>
    <col min="15620" max="15620" width="14.875" style="400" bestFit="1" customWidth="1"/>
    <col min="15621" max="15873" width="9.125" style="400"/>
    <col min="15874" max="15874" width="36.375" style="400" customWidth="1"/>
    <col min="15875" max="15875" width="17" style="400" bestFit="1" customWidth="1"/>
    <col min="15876" max="15876" width="14.875" style="400" bestFit="1" customWidth="1"/>
    <col min="15877" max="16129" width="9.125" style="400"/>
    <col min="16130" max="16130" width="36.375" style="400" customWidth="1"/>
    <col min="16131" max="16131" width="17" style="400" bestFit="1" customWidth="1"/>
    <col min="16132" max="16132" width="14.875" style="400" bestFit="1" customWidth="1"/>
    <col min="16133" max="16384" width="9.125" style="400"/>
  </cols>
  <sheetData>
    <row r="1" spans="2:7" s="126" customFormat="1" x14ac:dyDescent="0.35">
      <c r="D1" s="519"/>
    </row>
    <row r="2" spans="2:7" x14ac:dyDescent="0.35">
      <c r="B2" s="293" t="s">
        <v>258</v>
      </c>
      <c r="C2" s="126"/>
      <c r="D2" s="519"/>
      <c r="E2" s="520"/>
      <c r="F2" s="520"/>
      <c r="G2" s="520"/>
    </row>
    <row r="3" spans="2:7" x14ac:dyDescent="0.35">
      <c r="B3" s="521"/>
      <c r="C3" s="126"/>
      <c r="D3" s="519"/>
      <c r="E3" s="520"/>
      <c r="F3" s="520"/>
      <c r="G3" s="520"/>
    </row>
    <row r="4" spans="2:7" x14ac:dyDescent="0.35">
      <c r="B4" s="293" t="s">
        <v>7</v>
      </c>
      <c r="C4" s="117" t="s">
        <v>8</v>
      </c>
      <c r="D4" s="519"/>
    </row>
    <row r="5" spans="2:7" x14ac:dyDescent="0.35">
      <c r="B5" s="127" t="str">
        <f>IF(ISBLANK(Directions!C6), "Owner", Directions!C6)</f>
        <v>Owner</v>
      </c>
      <c r="C5" s="127" t="str">
        <f>IF(ISBLANK(Directions!D6), "Company 1", Directions!D6)</f>
        <v>Company 1</v>
      </c>
      <c r="D5" s="127"/>
      <c r="E5" s="127"/>
      <c r="F5" s="522"/>
    </row>
    <row r="6" spans="2:7" x14ac:dyDescent="0.35">
      <c r="B6" s="127"/>
      <c r="C6" s="127"/>
      <c r="D6" s="127"/>
      <c r="E6" s="127"/>
      <c r="F6" s="522"/>
    </row>
    <row r="7" spans="2:7" x14ac:dyDescent="0.35">
      <c r="B7" s="523"/>
      <c r="C7" s="524"/>
      <c r="D7" s="400"/>
      <c r="E7" s="127"/>
      <c r="F7" s="522"/>
    </row>
    <row r="8" spans="2:7" ht="16.5" thickBot="1" x14ac:dyDescent="0.4">
      <c r="B8" s="296" t="s">
        <v>259</v>
      </c>
      <c r="C8" s="296"/>
      <c r="D8" s="126"/>
    </row>
    <row r="9" spans="2:7" ht="16.5" thickTop="1" x14ac:dyDescent="0.35">
      <c r="B9" s="525" t="s">
        <v>199</v>
      </c>
      <c r="C9" s="526">
        <f>'7b-IncomeStatementYrs1-3'!C23</f>
        <v>0</v>
      </c>
      <c r="D9" s="126"/>
    </row>
    <row r="10" spans="2:7" x14ac:dyDescent="0.35">
      <c r="B10" s="386" t="s">
        <v>102</v>
      </c>
      <c r="C10" s="161">
        <f>'7b-IncomeStatementYrs1-3'!C14</f>
        <v>0</v>
      </c>
      <c r="D10" s="126"/>
    </row>
    <row r="11" spans="2:7" x14ac:dyDescent="0.35">
      <c r="B11" s="145" t="s">
        <v>260</v>
      </c>
      <c r="C11" s="527">
        <f>IF(C10&gt;0, C9/C10, 0)</f>
        <v>0</v>
      </c>
      <c r="D11" s="126"/>
    </row>
    <row r="12" spans="2:7" ht="16.5" thickBot="1" x14ac:dyDescent="0.4">
      <c r="B12" s="296" t="s">
        <v>261</v>
      </c>
      <c r="C12" s="296"/>
      <c r="D12" s="528"/>
      <c r="E12" s="529"/>
    </row>
    <row r="13" spans="2:7" ht="29.25" customHeight="1" thickTop="1" x14ac:dyDescent="0.35">
      <c r="B13" s="131" t="s">
        <v>181</v>
      </c>
      <c r="C13" s="530">
        <f>'2a-PayrollYear1'!R25</f>
        <v>0</v>
      </c>
      <c r="D13" s="528"/>
      <c r="E13" s="529"/>
    </row>
    <row r="14" spans="2:7" ht="29.25" customHeight="1" x14ac:dyDescent="0.35">
      <c r="B14" s="138" t="s">
        <v>180</v>
      </c>
      <c r="C14" s="531">
        <f>'5a-OpExYear1'!O38</f>
        <v>0</v>
      </c>
      <c r="D14" s="528"/>
      <c r="E14" s="529"/>
    </row>
    <row r="15" spans="2:7" x14ac:dyDescent="0.35">
      <c r="B15" s="145" t="s">
        <v>262</v>
      </c>
      <c r="C15" s="532">
        <f>SUM(C13:C14)</f>
        <v>0</v>
      </c>
      <c r="D15" s="528"/>
      <c r="E15" s="529"/>
    </row>
    <row r="16" spans="2:7" ht="16.5" thickBot="1" x14ac:dyDescent="0.4">
      <c r="B16" s="296" t="s">
        <v>263</v>
      </c>
      <c r="C16" s="296"/>
      <c r="D16" s="528"/>
      <c r="E16" s="529"/>
    </row>
    <row r="17" spans="2:11" ht="29.25" customHeight="1" thickTop="1" x14ac:dyDescent="0.35">
      <c r="B17" s="525" t="s">
        <v>264</v>
      </c>
      <c r="C17" s="533">
        <f>C11</f>
        <v>0</v>
      </c>
      <c r="D17" s="528"/>
      <c r="E17" s="529"/>
    </row>
    <row r="18" spans="2:11" ht="29.25" customHeight="1" x14ac:dyDescent="0.35">
      <c r="B18" s="386" t="s">
        <v>261</v>
      </c>
      <c r="C18" s="534">
        <f>C15</f>
        <v>0</v>
      </c>
      <c r="D18" s="528"/>
      <c r="E18" s="529"/>
    </row>
    <row r="19" spans="2:11" ht="29.25" customHeight="1" x14ac:dyDescent="0.35">
      <c r="B19" s="145" t="s">
        <v>265</v>
      </c>
      <c r="C19" s="265">
        <f>IF(C11=0,0, C15/C11)</f>
        <v>0</v>
      </c>
      <c r="D19" s="528"/>
      <c r="E19" s="529"/>
    </row>
    <row r="20" spans="2:11" x14ac:dyDescent="0.35">
      <c r="B20" s="535" t="s">
        <v>266</v>
      </c>
      <c r="C20" s="536">
        <f>C19/12</f>
        <v>0</v>
      </c>
      <c r="D20" s="537"/>
      <c r="E20" s="529"/>
    </row>
    <row r="21" spans="2:11" x14ac:dyDescent="0.35">
      <c r="B21" s="127"/>
      <c r="C21" s="538"/>
      <c r="D21" s="537"/>
      <c r="E21" s="529"/>
    </row>
    <row r="22" spans="2:11" x14ac:dyDescent="0.35">
      <c r="B22" s="127"/>
      <c r="C22" s="539"/>
      <c r="D22" s="537"/>
      <c r="E22" s="529"/>
    </row>
    <row r="23" spans="2:11" x14ac:dyDescent="0.35">
      <c r="B23" s="174"/>
      <c r="C23" s="540"/>
      <c r="D23" s="537"/>
      <c r="E23" s="529"/>
    </row>
    <row r="24" spans="2:11" x14ac:dyDescent="0.35">
      <c r="B24" s="541"/>
      <c r="C24" s="542"/>
      <c r="D24" s="543"/>
      <c r="E24" s="529"/>
    </row>
    <row r="25" spans="2:11" x14ac:dyDescent="0.35">
      <c r="B25" s="541"/>
      <c r="C25" s="544"/>
      <c r="D25" s="543"/>
      <c r="E25" s="529"/>
    </row>
    <row r="26" spans="2:11" x14ac:dyDescent="0.35">
      <c r="B26" s="545"/>
      <c r="C26" s="542"/>
      <c r="D26" s="546"/>
      <c r="E26" s="529"/>
      <c r="J26" s="522"/>
      <c r="K26" s="522"/>
    </row>
    <row r="27" spans="2:11" x14ac:dyDescent="0.35">
      <c r="B27" s="545"/>
      <c r="C27" s="542"/>
      <c r="D27" s="546"/>
      <c r="E27" s="529"/>
      <c r="J27" s="547"/>
      <c r="K27" s="547"/>
    </row>
    <row r="28" spans="2:11" x14ac:dyDescent="0.35">
      <c r="B28" s="545"/>
      <c r="C28" s="542"/>
      <c r="D28" s="546"/>
      <c r="E28" s="529"/>
    </row>
    <row r="29" spans="2:11" x14ac:dyDescent="0.35">
      <c r="B29" s="545"/>
      <c r="C29" s="542"/>
      <c r="D29" s="546"/>
      <c r="E29" s="529"/>
    </row>
    <row r="30" spans="2:11" x14ac:dyDescent="0.35">
      <c r="B30" s="545"/>
      <c r="C30" s="542"/>
      <c r="D30" s="546"/>
      <c r="E30" s="529"/>
    </row>
    <row r="31" spans="2:11" x14ac:dyDescent="0.35">
      <c r="B31" s="545"/>
      <c r="C31" s="542"/>
      <c r="D31" s="546"/>
      <c r="E31" s="529"/>
    </row>
    <row r="32" spans="2:11" x14ac:dyDescent="0.35">
      <c r="B32" s="545"/>
      <c r="C32" s="542"/>
      <c r="D32" s="546"/>
      <c r="E32" s="529"/>
    </row>
    <row r="33" spans="1:5" x14ac:dyDescent="0.35">
      <c r="B33" s="545"/>
      <c r="C33" s="542"/>
      <c r="D33" s="546"/>
      <c r="E33" s="529"/>
    </row>
    <row r="34" spans="1:5" x14ac:dyDescent="0.35">
      <c r="B34" s="545"/>
      <c r="C34" s="542"/>
      <c r="D34" s="546"/>
      <c r="E34" s="529"/>
    </row>
    <row r="35" spans="1:5" x14ac:dyDescent="0.35">
      <c r="B35" s="545"/>
      <c r="C35" s="542"/>
      <c r="D35" s="546"/>
      <c r="E35" s="529"/>
    </row>
    <row r="36" spans="1:5" x14ac:dyDescent="0.35">
      <c r="B36" s="545"/>
      <c r="C36" s="542"/>
      <c r="D36" s="546"/>
      <c r="E36" s="529"/>
    </row>
    <row r="37" spans="1:5" x14ac:dyDescent="0.35">
      <c r="B37" s="545"/>
      <c r="C37" s="542"/>
      <c r="D37" s="546"/>
      <c r="E37" s="529"/>
    </row>
    <row r="38" spans="1:5" x14ac:dyDescent="0.35">
      <c r="B38" s="545"/>
      <c r="C38" s="542"/>
      <c r="D38" s="546"/>
      <c r="E38" s="548"/>
    </row>
    <row r="39" spans="1:5" x14ac:dyDescent="0.35">
      <c r="B39" s="545"/>
      <c r="C39" s="542"/>
      <c r="D39" s="549"/>
      <c r="E39" s="548"/>
    </row>
    <row r="40" spans="1:5" x14ac:dyDescent="0.35">
      <c r="B40" s="541"/>
      <c r="C40" s="550"/>
      <c r="D40" s="551"/>
      <c r="E40" s="548"/>
    </row>
    <row r="41" spans="1:5" x14ac:dyDescent="0.35">
      <c r="B41" s="541"/>
      <c r="C41" s="550"/>
      <c r="D41" s="551"/>
      <c r="E41" s="548"/>
    </row>
    <row r="42" spans="1:5" x14ac:dyDescent="0.35">
      <c r="B42" s="183"/>
      <c r="C42" s="552"/>
      <c r="D42" s="551"/>
      <c r="E42" s="548"/>
    </row>
    <row r="43" spans="1:5" x14ac:dyDescent="0.35">
      <c r="B43" s="127"/>
      <c r="C43" s="127"/>
      <c r="D43" s="501"/>
      <c r="E43" s="548"/>
    </row>
    <row r="44" spans="1:5" x14ac:dyDescent="0.35">
      <c r="B44" s="541"/>
      <c r="C44" s="552"/>
      <c r="D44" s="551"/>
      <c r="E44" s="548"/>
    </row>
    <row r="45" spans="1:5" s="126" customFormat="1" x14ac:dyDescent="0.35">
      <c r="A45" s="548"/>
      <c r="B45" s="548"/>
      <c r="C45" s="548"/>
      <c r="D45" s="548"/>
      <c r="E45" s="548"/>
    </row>
    <row r="46" spans="1:5" s="126" customFormat="1" x14ac:dyDescent="0.35">
      <c r="B46" s="545"/>
      <c r="C46" s="545"/>
      <c r="D46" s="553"/>
      <c r="E46" s="548"/>
    </row>
    <row r="47" spans="1:5" x14ac:dyDescent="0.35">
      <c r="B47" s="554"/>
      <c r="C47" s="554"/>
      <c r="D47" s="555"/>
      <c r="E47" s="548"/>
    </row>
    <row r="48" spans="1:5" x14ac:dyDescent="0.35">
      <c r="B48" s="554"/>
      <c r="C48" s="554"/>
      <c r="D48" s="555"/>
      <c r="E48" s="548"/>
    </row>
  </sheetData>
  <sheetProtection formatColumns="0" formatRows="0"/>
  <mergeCells count="3">
    <mergeCell ref="B8:C8"/>
    <mergeCell ref="B12:C12"/>
    <mergeCell ref="B16:C16"/>
  </mergeCells>
  <printOptions horizontalCentered="1"/>
  <pageMargins left="0.25" right="0.25" top="0.75" bottom="0.75" header="0.3" footer="0.3"/>
  <pageSetup orientation="landscape" r:id="rId1"/>
  <headerFooter scaleWithDoc="0">
    <oddHeader>&amp;C&amp;"Gill Sans MT,Regular"&amp;12Breakeven Analysis</oddHeader>
    <oddFooter>&amp;L&amp;"Gill Sans MT,Regular"&amp;12&amp;F&amp;C&amp;"Gill Sans MT,Regular"&amp;12&amp;A&amp;R&amp;"Gill Sans MT,Regular"&amp;12&amp;D &amp;T</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4BC4C7"/>
    <pageSetUpPr fitToPage="1"/>
  </sheetPr>
  <dimension ref="A1:H33"/>
  <sheetViews>
    <sheetView zoomScaleNormal="100" workbookViewId="0">
      <selection activeCell="J32" sqref="J32"/>
    </sheetView>
  </sheetViews>
  <sheetFormatPr defaultColWidth="17.625" defaultRowHeight="15.75" x14ac:dyDescent="0.35"/>
  <cols>
    <col min="1" max="1" width="9.25" style="118" customWidth="1"/>
    <col min="2" max="2" width="39.875" style="120" customWidth="1"/>
    <col min="3" max="3" width="15" style="120" bestFit="1" customWidth="1"/>
    <col min="4" max="4" width="10.375" style="118" bestFit="1" customWidth="1"/>
    <col min="5" max="5" width="12.25" style="120" bestFit="1" customWidth="1"/>
    <col min="6" max="6" width="17.25" style="120" bestFit="1" customWidth="1"/>
    <col min="7" max="7" width="12.25" style="120" customWidth="1"/>
    <col min="8" max="256" width="17.625" style="120"/>
    <col min="257" max="257" width="9.25" style="120" customWidth="1"/>
    <col min="258" max="258" width="39.875" style="120" customWidth="1"/>
    <col min="259" max="259" width="15" style="120" bestFit="1" customWidth="1"/>
    <col min="260" max="260" width="10.375" style="120" bestFit="1" customWidth="1"/>
    <col min="261" max="261" width="12.25" style="120" bestFit="1" customWidth="1"/>
    <col min="262" max="262" width="17.25" style="120" bestFit="1" customWidth="1"/>
    <col min="263" max="263" width="12.25" style="120" customWidth="1"/>
    <col min="264" max="512" width="17.625" style="120"/>
    <col min="513" max="513" width="9.25" style="120" customWidth="1"/>
    <col min="514" max="514" width="39.875" style="120" customWidth="1"/>
    <col min="515" max="515" width="15" style="120" bestFit="1" customWidth="1"/>
    <col min="516" max="516" width="10.375" style="120" bestFit="1" customWidth="1"/>
    <col min="517" max="517" width="12.25" style="120" bestFit="1" customWidth="1"/>
    <col min="518" max="518" width="17.25" style="120" bestFit="1" customWidth="1"/>
    <col min="519" max="519" width="12.25" style="120" customWidth="1"/>
    <col min="520" max="768" width="17.625" style="120"/>
    <col min="769" max="769" width="9.25" style="120" customWidth="1"/>
    <col min="770" max="770" width="39.875" style="120" customWidth="1"/>
    <col min="771" max="771" width="15" style="120" bestFit="1" customWidth="1"/>
    <col min="772" max="772" width="10.375" style="120" bestFit="1" customWidth="1"/>
    <col min="773" max="773" width="12.25" style="120" bestFit="1" customWidth="1"/>
    <col min="774" max="774" width="17.25" style="120" bestFit="1" customWidth="1"/>
    <col min="775" max="775" width="12.25" style="120" customWidth="1"/>
    <col min="776" max="1024" width="17.625" style="120"/>
    <col min="1025" max="1025" width="9.25" style="120" customWidth="1"/>
    <col min="1026" max="1026" width="39.875" style="120" customWidth="1"/>
    <col min="1027" max="1027" width="15" style="120" bestFit="1" customWidth="1"/>
    <col min="1028" max="1028" width="10.375" style="120" bestFit="1" customWidth="1"/>
    <col min="1029" max="1029" width="12.25" style="120" bestFit="1" customWidth="1"/>
    <col min="1030" max="1030" width="17.25" style="120" bestFit="1" customWidth="1"/>
    <col min="1031" max="1031" width="12.25" style="120" customWidth="1"/>
    <col min="1032" max="1280" width="17.625" style="120"/>
    <col min="1281" max="1281" width="9.25" style="120" customWidth="1"/>
    <col min="1282" max="1282" width="39.875" style="120" customWidth="1"/>
    <col min="1283" max="1283" width="15" style="120" bestFit="1" customWidth="1"/>
    <col min="1284" max="1284" width="10.375" style="120" bestFit="1" customWidth="1"/>
    <col min="1285" max="1285" width="12.25" style="120" bestFit="1" customWidth="1"/>
    <col min="1286" max="1286" width="17.25" style="120" bestFit="1" customWidth="1"/>
    <col min="1287" max="1287" width="12.25" style="120" customWidth="1"/>
    <col min="1288" max="1536" width="17.625" style="120"/>
    <col min="1537" max="1537" width="9.25" style="120" customWidth="1"/>
    <col min="1538" max="1538" width="39.875" style="120" customWidth="1"/>
    <col min="1539" max="1539" width="15" style="120" bestFit="1" customWidth="1"/>
    <col min="1540" max="1540" width="10.375" style="120" bestFit="1" customWidth="1"/>
    <col min="1541" max="1541" width="12.25" style="120" bestFit="1" customWidth="1"/>
    <col min="1542" max="1542" width="17.25" style="120" bestFit="1" customWidth="1"/>
    <col min="1543" max="1543" width="12.25" style="120" customWidth="1"/>
    <col min="1544" max="1792" width="17.625" style="120"/>
    <col min="1793" max="1793" width="9.25" style="120" customWidth="1"/>
    <col min="1794" max="1794" width="39.875" style="120" customWidth="1"/>
    <col min="1795" max="1795" width="15" style="120" bestFit="1" customWidth="1"/>
    <col min="1796" max="1796" width="10.375" style="120" bestFit="1" customWidth="1"/>
    <col min="1797" max="1797" width="12.25" style="120" bestFit="1" customWidth="1"/>
    <col min="1798" max="1798" width="17.25" style="120" bestFit="1" customWidth="1"/>
    <col min="1799" max="1799" width="12.25" style="120" customWidth="1"/>
    <col min="1800" max="2048" width="17.625" style="120"/>
    <col min="2049" max="2049" width="9.25" style="120" customWidth="1"/>
    <col min="2050" max="2050" width="39.875" style="120" customWidth="1"/>
    <col min="2051" max="2051" width="15" style="120" bestFit="1" customWidth="1"/>
    <col min="2052" max="2052" width="10.375" style="120" bestFit="1" customWidth="1"/>
    <col min="2053" max="2053" width="12.25" style="120" bestFit="1" customWidth="1"/>
    <col min="2054" max="2054" width="17.25" style="120" bestFit="1" customWidth="1"/>
    <col min="2055" max="2055" width="12.25" style="120" customWidth="1"/>
    <col min="2056" max="2304" width="17.625" style="120"/>
    <col min="2305" max="2305" width="9.25" style="120" customWidth="1"/>
    <col min="2306" max="2306" width="39.875" style="120" customWidth="1"/>
    <col min="2307" max="2307" width="15" style="120" bestFit="1" customWidth="1"/>
    <col min="2308" max="2308" width="10.375" style="120" bestFit="1" customWidth="1"/>
    <col min="2309" max="2309" width="12.25" style="120" bestFit="1" customWidth="1"/>
    <col min="2310" max="2310" width="17.25" style="120" bestFit="1" customWidth="1"/>
    <col min="2311" max="2311" width="12.25" style="120" customWidth="1"/>
    <col min="2312" max="2560" width="17.625" style="120"/>
    <col min="2561" max="2561" width="9.25" style="120" customWidth="1"/>
    <col min="2562" max="2562" width="39.875" style="120" customWidth="1"/>
    <col min="2563" max="2563" width="15" style="120" bestFit="1" customWidth="1"/>
    <col min="2564" max="2564" width="10.375" style="120" bestFit="1" customWidth="1"/>
    <col min="2565" max="2565" width="12.25" style="120" bestFit="1" customWidth="1"/>
    <col min="2566" max="2566" width="17.25" style="120" bestFit="1" customWidth="1"/>
    <col min="2567" max="2567" width="12.25" style="120" customWidth="1"/>
    <col min="2568" max="2816" width="17.625" style="120"/>
    <col min="2817" max="2817" width="9.25" style="120" customWidth="1"/>
    <col min="2818" max="2818" width="39.875" style="120" customWidth="1"/>
    <col min="2819" max="2819" width="15" style="120" bestFit="1" customWidth="1"/>
    <col min="2820" max="2820" width="10.375" style="120" bestFit="1" customWidth="1"/>
    <col min="2821" max="2821" width="12.25" style="120" bestFit="1" customWidth="1"/>
    <col min="2822" max="2822" width="17.25" style="120" bestFit="1" customWidth="1"/>
    <col min="2823" max="2823" width="12.25" style="120" customWidth="1"/>
    <col min="2824" max="3072" width="17.625" style="120"/>
    <col min="3073" max="3073" width="9.25" style="120" customWidth="1"/>
    <col min="3074" max="3074" width="39.875" style="120" customWidth="1"/>
    <col min="3075" max="3075" width="15" style="120" bestFit="1" customWidth="1"/>
    <col min="3076" max="3076" width="10.375" style="120" bestFit="1" customWidth="1"/>
    <col min="3077" max="3077" width="12.25" style="120" bestFit="1" customWidth="1"/>
    <col min="3078" max="3078" width="17.25" style="120" bestFit="1" customWidth="1"/>
    <col min="3079" max="3079" width="12.25" style="120" customWidth="1"/>
    <col min="3080" max="3328" width="17.625" style="120"/>
    <col min="3329" max="3329" width="9.25" style="120" customWidth="1"/>
    <col min="3330" max="3330" width="39.875" style="120" customWidth="1"/>
    <col min="3331" max="3331" width="15" style="120" bestFit="1" customWidth="1"/>
    <col min="3332" max="3332" width="10.375" style="120" bestFit="1" customWidth="1"/>
    <col min="3333" max="3333" width="12.25" style="120" bestFit="1" customWidth="1"/>
    <col min="3334" max="3334" width="17.25" style="120" bestFit="1" customWidth="1"/>
    <col min="3335" max="3335" width="12.25" style="120" customWidth="1"/>
    <col min="3336" max="3584" width="17.625" style="120"/>
    <col min="3585" max="3585" width="9.25" style="120" customWidth="1"/>
    <col min="3586" max="3586" width="39.875" style="120" customWidth="1"/>
    <col min="3587" max="3587" width="15" style="120" bestFit="1" customWidth="1"/>
    <col min="3588" max="3588" width="10.375" style="120" bestFit="1" customWidth="1"/>
    <col min="3589" max="3589" width="12.25" style="120" bestFit="1" customWidth="1"/>
    <col min="3590" max="3590" width="17.25" style="120" bestFit="1" customWidth="1"/>
    <col min="3591" max="3591" width="12.25" style="120" customWidth="1"/>
    <col min="3592" max="3840" width="17.625" style="120"/>
    <col min="3841" max="3841" width="9.25" style="120" customWidth="1"/>
    <col min="3842" max="3842" width="39.875" style="120" customWidth="1"/>
    <col min="3843" max="3843" width="15" style="120" bestFit="1" customWidth="1"/>
    <col min="3844" max="3844" width="10.375" style="120" bestFit="1" customWidth="1"/>
    <col min="3845" max="3845" width="12.25" style="120" bestFit="1" customWidth="1"/>
    <col min="3846" max="3846" width="17.25" style="120" bestFit="1" customWidth="1"/>
    <col min="3847" max="3847" width="12.25" style="120" customWidth="1"/>
    <col min="3848" max="4096" width="17.625" style="120"/>
    <col min="4097" max="4097" width="9.25" style="120" customWidth="1"/>
    <col min="4098" max="4098" width="39.875" style="120" customWidth="1"/>
    <col min="4099" max="4099" width="15" style="120" bestFit="1" customWidth="1"/>
    <col min="4100" max="4100" width="10.375" style="120" bestFit="1" customWidth="1"/>
    <col min="4101" max="4101" width="12.25" style="120" bestFit="1" customWidth="1"/>
    <col min="4102" max="4102" width="17.25" style="120" bestFit="1" customWidth="1"/>
    <col min="4103" max="4103" width="12.25" style="120" customWidth="1"/>
    <col min="4104" max="4352" width="17.625" style="120"/>
    <col min="4353" max="4353" width="9.25" style="120" customWidth="1"/>
    <col min="4354" max="4354" width="39.875" style="120" customWidth="1"/>
    <col min="4355" max="4355" width="15" style="120" bestFit="1" customWidth="1"/>
    <col min="4356" max="4356" width="10.375" style="120" bestFit="1" customWidth="1"/>
    <col min="4357" max="4357" width="12.25" style="120" bestFit="1" customWidth="1"/>
    <col min="4358" max="4358" width="17.25" style="120" bestFit="1" customWidth="1"/>
    <col min="4359" max="4359" width="12.25" style="120" customWidth="1"/>
    <col min="4360" max="4608" width="17.625" style="120"/>
    <col min="4609" max="4609" width="9.25" style="120" customWidth="1"/>
    <col min="4610" max="4610" width="39.875" style="120" customWidth="1"/>
    <col min="4611" max="4611" width="15" style="120" bestFit="1" customWidth="1"/>
    <col min="4612" max="4612" width="10.375" style="120" bestFit="1" customWidth="1"/>
    <col min="4613" max="4613" width="12.25" style="120" bestFit="1" customWidth="1"/>
    <col min="4614" max="4614" width="17.25" style="120" bestFit="1" customWidth="1"/>
    <col min="4615" max="4615" width="12.25" style="120" customWidth="1"/>
    <col min="4616" max="4864" width="17.625" style="120"/>
    <col min="4865" max="4865" width="9.25" style="120" customWidth="1"/>
    <col min="4866" max="4866" width="39.875" style="120" customWidth="1"/>
    <col min="4867" max="4867" width="15" style="120" bestFit="1" customWidth="1"/>
    <col min="4868" max="4868" width="10.375" style="120" bestFit="1" customWidth="1"/>
    <col min="4869" max="4869" width="12.25" style="120" bestFit="1" customWidth="1"/>
    <col min="4870" max="4870" width="17.25" style="120" bestFit="1" customWidth="1"/>
    <col min="4871" max="4871" width="12.25" style="120" customWidth="1"/>
    <col min="4872" max="5120" width="17.625" style="120"/>
    <col min="5121" max="5121" width="9.25" style="120" customWidth="1"/>
    <col min="5122" max="5122" width="39.875" style="120" customWidth="1"/>
    <col min="5123" max="5123" width="15" style="120" bestFit="1" customWidth="1"/>
    <col min="5124" max="5124" width="10.375" style="120" bestFit="1" customWidth="1"/>
    <col min="5125" max="5125" width="12.25" style="120" bestFit="1" customWidth="1"/>
    <col min="5126" max="5126" width="17.25" style="120" bestFit="1" customWidth="1"/>
    <col min="5127" max="5127" width="12.25" style="120" customWidth="1"/>
    <col min="5128" max="5376" width="17.625" style="120"/>
    <col min="5377" max="5377" width="9.25" style="120" customWidth="1"/>
    <col min="5378" max="5378" width="39.875" style="120" customWidth="1"/>
    <col min="5379" max="5379" width="15" style="120" bestFit="1" customWidth="1"/>
    <col min="5380" max="5380" width="10.375" style="120" bestFit="1" customWidth="1"/>
    <col min="5381" max="5381" width="12.25" style="120" bestFit="1" customWidth="1"/>
    <col min="5382" max="5382" width="17.25" style="120" bestFit="1" customWidth="1"/>
    <col min="5383" max="5383" width="12.25" style="120" customWidth="1"/>
    <col min="5384" max="5632" width="17.625" style="120"/>
    <col min="5633" max="5633" width="9.25" style="120" customWidth="1"/>
    <col min="5634" max="5634" width="39.875" style="120" customWidth="1"/>
    <col min="5635" max="5635" width="15" style="120" bestFit="1" customWidth="1"/>
    <col min="5636" max="5636" width="10.375" style="120" bestFit="1" customWidth="1"/>
    <col min="5637" max="5637" width="12.25" style="120" bestFit="1" customWidth="1"/>
    <col min="5638" max="5638" width="17.25" style="120" bestFit="1" customWidth="1"/>
    <col min="5639" max="5639" width="12.25" style="120" customWidth="1"/>
    <col min="5640" max="5888" width="17.625" style="120"/>
    <col min="5889" max="5889" width="9.25" style="120" customWidth="1"/>
    <col min="5890" max="5890" width="39.875" style="120" customWidth="1"/>
    <col min="5891" max="5891" width="15" style="120" bestFit="1" customWidth="1"/>
    <col min="5892" max="5892" width="10.375" style="120" bestFit="1" customWidth="1"/>
    <col min="5893" max="5893" width="12.25" style="120" bestFit="1" customWidth="1"/>
    <col min="5894" max="5894" width="17.25" style="120" bestFit="1" customWidth="1"/>
    <col min="5895" max="5895" width="12.25" style="120" customWidth="1"/>
    <col min="5896" max="6144" width="17.625" style="120"/>
    <col min="6145" max="6145" width="9.25" style="120" customWidth="1"/>
    <col min="6146" max="6146" width="39.875" style="120" customWidth="1"/>
    <col min="6147" max="6147" width="15" style="120" bestFit="1" customWidth="1"/>
    <col min="6148" max="6148" width="10.375" style="120" bestFit="1" customWidth="1"/>
    <col min="6149" max="6149" width="12.25" style="120" bestFit="1" customWidth="1"/>
    <col min="6150" max="6150" width="17.25" style="120" bestFit="1" customWidth="1"/>
    <col min="6151" max="6151" width="12.25" style="120" customWidth="1"/>
    <col min="6152" max="6400" width="17.625" style="120"/>
    <col min="6401" max="6401" width="9.25" style="120" customWidth="1"/>
    <col min="6402" max="6402" width="39.875" style="120" customWidth="1"/>
    <col min="6403" max="6403" width="15" style="120" bestFit="1" customWidth="1"/>
    <col min="6404" max="6404" width="10.375" style="120" bestFit="1" customWidth="1"/>
    <col min="6405" max="6405" width="12.25" style="120" bestFit="1" customWidth="1"/>
    <col min="6406" max="6406" width="17.25" style="120" bestFit="1" customWidth="1"/>
    <col min="6407" max="6407" width="12.25" style="120" customWidth="1"/>
    <col min="6408" max="6656" width="17.625" style="120"/>
    <col min="6657" max="6657" width="9.25" style="120" customWidth="1"/>
    <col min="6658" max="6658" width="39.875" style="120" customWidth="1"/>
    <col min="6659" max="6659" width="15" style="120" bestFit="1" customWidth="1"/>
    <col min="6660" max="6660" width="10.375" style="120" bestFit="1" customWidth="1"/>
    <col min="6661" max="6661" width="12.25" style="120" bestFit="1" customWidth="1"/>
    <col min="6662" max="6662" width="17.25" style="120" bestFit="1" customWidth="1"/>
    <col min="6663" max="6663" width="12.25" style="120" customWidth="1"/>
    <col min="6664" max="6912" width="17.625" style="120"/>
    <col min="6913" max="6913" width="9.25" style="120" customWidth="1"/>
    <col min="6914" max="6914" width="39.875" style="120" customWidth="1"/>
    <col min="6915" max="6915" width="15" style="120" bestFit="1" customWidth="1"/>
    <col min="6916" max="6916" width="10.375" style="120" bestFit="1" customWidth="1"/>
    <col min="6917" max="6917" width="12.25" style="120" bestFit="1" customWidth="1"/>
    <col min="6918" max="6918" width="17.25" style="120" bestFit="1" customWidth="1"/>
    <col min="6919" max="6919" width="12.25" style="120" customWidth="1"/>
    <col min="6920" max="7168" width="17.625" style="120"/>
    <col min="7169" max="7169" width="9.25" style="120" customWidth="1"/>
    <col min="7170" max="7170" width="39.875" style="120" customWidth="1"/>
    <col min="7171" max="7171" width="15" style="120" bestFit="1" customWidth="1"/>
    <col min="7172" max="7172" width="10.375" style="120" bestFit="1" customWidth="1"/>
    <col min="7173" max="7173" width="12.25" style="120" bestFit="1" customWidth="1"/>
    <col min="7174" max="7174" width="17.25" style="120" bestFit="1" customWidth="1"/>
    <col min="7175" max="7175" width="12.25" style="120" customWidth="1"/>
    <col min="7176" max="7424" width="17.625" style="120"/>
    <col min="7425" max="7425" width="9.25" style="120" customWidth="1"/>
    <col min="7426" max="7426" width="39.875" style="120" customWidth="1"/>
    <col min="7427" max="7427" width="15" style="120" bestFit="1" customWidth="1"/>
    <col min="7428" max="7428" width="10.375" style="120" bestFit="1" customWidth="1"/>
    <col min="7429" max="7429" width="12.25" style="120" bestFit="1" customWidth="1"/>
    <col min="7430" max="7430" width="17.25" style="120" bestFit="1" customWidth="1"/>
    <col min="7431" max="7431" width="12.25" style="120" customWidth="1"/>
    <col min="7432" max="7680" width="17.625" style="120"/>
    <col min="7681" max="7681" width="9.25" style="120" customWidth="1"/>
    <col min="7682" max="7682" width="39.875" style="120" customWidth="1"/>
    <col min="7683" max="7683" width="15" style="120" bestFit="1" customWidth="1"/>
    <col min="7684" max="7684" width="10.375" style="120" bestFit="1" customWidth="1"/>
    <col min="7685" max="7685" width="12.25" style="120" bestFit="1" customWidth="1"/>
    <col min="7686" max="7686" width="17.25" style="120" bestFit="1" customWidth="1"/>
    <col min="7687" max="7687" width="12.25" style="120" customWidth="1"/>
    <col min="7688" max="7936" width="17.625" style="120"/>
    <col min="7937" max="7937" width="9.25" style="120" customWidth="1"/>
    <col min="7938" max="7938" width="39.875" style="120" customWidth="1"/>
    <col min="7939" max="7939" width="15" style="120" bestFit="1" customWidth="1"/>
    <col min="7940" max="7940" width="10.375" style="120" bestFit="1" customWidth="1"/>
    <col min="7941" max="7941" width="12.25" style="120" bestFit="1" customWidth="1"/>
    <col min="7942" max="7942" width="17.25" style="120" bestFit="1" customWidth="1"/>
    <col min="7943" max="7943" width="12.25" style="120" customWidth="1"/>
    <col min="7944" max="8192" width="17.625" style="120"/>
    <col min="8193" max="8193" width="9.25" style="120" customWidth="1"/>
    <col min="8194" max="8194" width="39.875" style="120" customWidth="1"/>
    <col min="8195" max="8195" width="15" style="120" bestFit="1" customWidth="1"/>
    <col min="8196" max="8196" width="10.375" style="120" bestFit="1" customWidth="1"/>
    <col min="8197" max="8197" width="12.25" style="120" bestFit="1" customWidth="1"/>
    <col min="8198" max="8198" width="17.25" style="120" bestFit="1" customWidth="1"/>
    <col min="8199" max="8199" width="12.25" style="120" customWidth="1"/>
    <col min="8200" max="8448" width="17.625" style="120"/>
    <col min="8449" max="8449" width="9.25" style="120" customWidth="1"/>
    <col min="8450" max="8450" width="39.875" style="120" customWidth="1"/>
    <col min="8451" max="8451" width="15" style="120" bestFit="1" customWidth="1"/>
    <col min="8452" max="8452" width="10.375" style="120" bestFit="1" customWidth="1"/>
    <col min="8453" max="8453" width="12.25" style="120" bestFit="1" customWidth="1"/>
    <col min="8454" max="8454" width="17.25" style="120" bestFit="1" customWidth="1"/>
    <col min="8455" max="8455" width="12.25" style="120" customWidth="1"/>
    <col min="8456" max="8704" width="17.625" style="120"/>
    <col min="8705" max="8705" width="9.25" style="120" customWidth="1"/>
    <col min="8706" max="8706" width="39.875" style="120" customWidth="1"/>
    <col min="8707" max="8707" width="15" style="120" bestFit="1" customWidth="1"/>
    <col min="8708" max="8708" width="10.375" style="120" bestFit="1" customWidth="1"/>
    <col min="8709" max="8709" width="12.25" style="120" bestFit="1" customWidth="1"/>
    <col min="8710" max="8710" width="17.25" style="120" bestFit="1" customWidth="1"/>
    <col min="8711" max="8711" width="12.25" style="120" customWidth="1"/>
    <col min="8712" max="8960" width="17.625" style="120"/>
    <col min="8961" max="8961" width="9.25" style="120" customWidth="1"/>
    <col min="8962" max="8962" width="39.875" style="120" customWidth="1"/>
    <col min="8963" max="8963" width="15" style="120" bestFit="1" customWidth="1"/>
    <col min="8964" max="8964" width="10.375" style="120" bestFit="1" customWidth="1"/>
    <col min="8965" max="8965" width="12.25" style="120" bestFit="1" customWidth="1"/>
    <col min="8966" max="8966" width="17.25" style="120" bestFit="1" customWidth="1"/>
    <col min="8967" max="8967" width="12.25" style="120" customWidth="1"/>
    <col min="8968" max="9216" width="17.625" style="120"/>
    <col min="9217" max="9217" width="9.25" style="120" customWidth="1"/>
    <col min="9218" max="9218" width="39.875" style="120" customWidth="1"/>
    <col min="9219" max="9219" width="15" style="120" bestFit="1" customWidth="1"/>
    <col min="9220" max="9220" width="10.375" style="120" bestFit="1" customWidth="1"/>
    <col min="9221" max="9221" width="12.25" style="120" bestFit="1" customWidth="1"/>
    <col min="9222" max="9222" width="17.25" style="120" bestFit="1" customWidth="1"/>
    <col min="9223" max="9223" width="12.25" style="120" customWidth="1"/>
    <col min="9224" max="9472" width="17.625" style="120"/>
    <col min="9473" max="9473" width="9.25" style="120" customWidth="1"/>
    <col min="9474" max="9474" width="39.875" style="120" customWidth="1"/>
    <col min="9475" max="9475" width="15" style="120" bestFit="1" customWidth="1"/>
    <col min="9476" max="9476" width="10.375" style="120" bestFit="1" customWidth="1"/>
    <col min="9477" max="9477" width="12.25" style="120" bestFit="1" customWidth="1"/>
    <col min="9478" max="9478" width="17.25" style="120" bestFit="1" customWidth="1"/>
    <col min="9479" max="9479" width="12.25" style="120" customWidth="1"/>
    <col min="9480" max="9728" width="17.625" style="120"/>
    <col min="9729" max="9729" width="9.25" style="120" customWidth="1"/>
    <col min="9730" max="9730" width="39.875" style="120" customWidth="1"/>
    <col min="9731" max="9731" width="15" style="120" bestFit="1" customWidth="1"/>
    <col min="9732" max="9732" width="10.375" style="120" bestFit="1" customWidth="1"/>
    <col min="9733" max="9733" width="12.25" style="120" bestFit="1" customWidth="1"/>
    <col min="9734" max="9734" width="17.25" style="120" bestFit="1" customWidth="1"/>
    <col min="9735" max="9735" width="12.25" style="120" customWidth="1"/>
    <col min="9736" max="9984" width="17.625" style="120"/>
    <col min="9985" max="9985" width="9.25" style="120" customWidth="1"/>
    <col min="9986" max="9986" width="39.875" style="120" customWidth="1"/>
    <col min="9987" max="9987" width="15" style="120" bestFit="1" customWidth="1"/>
    <col min="9988" max="9988" width="10.375" style="120" bestFit="1" customWidth="1"/>
    <col min="9989" max="9989" width="12.25" style="120" bestFit="1" customWidth="1"/>
    <col min="9990" max="9990" width="17.25" style="120" bestFit="1" customWidth="1"/>
    <col min="9991" max="9991" width="12.25" style="120" customWidth="1"/>
    <col min="9992" max="10240" width="17.625" style="120"/>
    <col min="10241" max="10241" width="9.25" style="120" customWidth="1"/>
    <col min="10242" max="10242" width="39.875" style="120" customWidth="1"/>
    <col min="10243" max="10243" width="15" style="120" bestFit="1" customWidth="1"/>
    <col min="10244" max="10244" width="10.375" style="120" bestFit="1" customWidth="1"/>
    <col min="10245" max="10245" width="12.25" style="120" bestFit="1" customWidth="1"/>
    <col min="10246" max="10246" width="17.25" style="120" bestFit="1" customWidth="1"/>
    <col min="10247" max="10247" width="12.25" style="120" customWidth="1"/>
    <col min="10248" max="10496" width="17.625" style="120"/>
    <col min="10497" max="10497" width="9.25" style="120" customWidth="1"/>
    <col min="10498" max="10498" width="39.875" style="120" customWidth="1"/>
    <col min="10499" max="10499" width="15" style="120" bestFit="1" customWidth="1"/>
    <col min="10500" max="10500" width="10.375" style="120" bestFit="1" customWidth="1"/>
    <col min="10501" max="10501" width="12.25" style="120" bestFit="1" customWidth="1"/>
    <col min="10502" max="10502" width="17.25" style="120" bestFit="1" customWidth="1"/>
    <col min="10503" max="10503" width="12.25" style="120" customWidth="1"/>
    <col min="10504" max="10752" width="17.625" style="120"/>
    <col min="10753" max="10753" width="9.25" style="120" customWidth="1"/>
    <col min="10754" max="10754" width="39.875" style="120" customWidth="1"/>
    <col min="10755" max="10755" width="15" style="120" bestFit="1" customWidth="1"/>
    <col min="10756" max="10756" width="10.375" style="120" bestFit="1" customWidth="1"/>
    <col min="10757" max="10757" width="12.25" style="120" bestFit="1" customWidth="1"/>
    <col min="10758" max="10758" width="17.25" style="120" bestFit="1" customWidth="1"/>
    <col min="10759" max="10759" width="12.25" style="120" customWidth="1"/>
    <col min="10760" max="11008" width="17.625" style="120"/>
    <col min="11009" max="11009" width="9.25" style="120" customWidth="1"/>
    <col min="11010" max="11010" width="39.875" style="120" customWidth="1"/>
    <col min="11011" max="11011" width="15" style="120" bestFit="1" customWidth="1"/>
    <col min="11012" max="11012" width="10.375" style="120" bestFit="1" customWidth="1"/>
    <col min="11013" max="11013" width="12.25" style="120" bestFit="1" customWidth="1"/>
    <col min="11014" max="11014" width="17.25" style="120" bestFit="1" customWidth="1"/>
    <col min="11015" max="11015" width="12.25" style="120" customWidth="1"/>
    <col min="11016" max="11264" width="17.625" style="120"/>
    <col min="11265" max="11265" width="9.25" style="120" customWidth="1"/>
    <col min="11266" max="11266" width="39.875" style="120" customWidth="1"/>
    <col min="11267" max="11267" width="15" style="120" bestFit="1" customWidth="1"/>
    <col min="11268" max="11268" width="10.375" style="120" bestFit="1" customWidth="1"/>
    <col min="11269" max="11269" width="12.25" style="120" bestFit="1" customWidth="1"/>
    <col min="11270" max="11270" width="17.25" style="120" bestFit="1" customWidth="1"/>
    <col min="11271" max="11271" width="12.25" style="120" customWidth="1"/>
    <col min="11272" max="11520" width="17.625" style="120"/>
    <col min="11521" max="11521" width="9.25" style="120" customWidth="1"/>
    <col min="11522" max="11522" width="39.875" style="120" customWidth="1"/>
    <col min="11523" max="11523" width="15" style="120" bestFit="1" customWidth="1"/>
    <col min="11524" max="11524" width="10.375" style="120" bestFit="1" customWidth="1"/>
    <col min="11525" max="11525" width="12.25" style="120" bestFit="1" customWidth="1"/>
    <col min="11526" max="11526" width="17.25" style="120" bestFit="1" customWidth="1"/>
    <col min="11527" max="11527" width="12.25" style="120" customWidth="1"/>
    <col min="11528" max="11776" width="17.625" style="120"/>
    <col min="11777" max="11777" width="9.25" style="120" customWidth="1"/>
    <col min="11778" max="11778" width="39.875" style="120" customWidth="1"/>
    <col min="11779" max="11779" width="15" style="120" bestFit="1" customWidth="1"/>
    <col min="11780" max="11780" width="10.375" style="120" bestFit="1" customWidth="1"/>
    <col min="11781" max="11781" width="12.25" style="120" bestFit="1" customWidth="1"/>
    <col min="11782" max="11782" width="17.25" style="120" bestFit="1" customWidth="1"/>
    <col min="11783" max="11783" width="12.25" style="120" customWidth="1"/>
    <col min="11784" max="12032" width="17.625" style="120"/>
    <col min="12033" max="12033" width="9.25" style="120" customWidth="1"/>
    <col min="12034" max="12034" width="39.875" style="120" customWidth="1"/>
    <col min="12035" max="12035" width="15" style="120" bestFit="1" customWidth="1"/>
    <col min="12036" max="12036" width="10.375" style="120" bestFit="1" customWidth="1"/>
    <col min="12037" max="12037" width="12.25" style="120" bestFit="1" customWidth="1"/>
    <col min="12038" max="12038" width="17.25" style="120" bestFit="1" customWidth="1"/>
    <col min="12039" max="12039" width="12.25" style="120" customWidth="1"/>
    <col min="12040" max="12288" width="17.625" style="120"/>
    <col min="12289" max="12289" width="9.25" style="120" customWidth="1"/>
    <col min="12290" max="12290" width="39.875" style="120" customWidth="1"/>
    <col min="12291" max="12291" width="15" style="120" bestFit="1" customWidth="1"/>
    <col min="12292" max="12292" width="10.375" style="120" bestFit="1" customWidth="1"/>
    <col min="12293" max="12293" width="12.25" style="120" bestFit="1" customWidth="1"/>
    <col min="12294" max="12294" width="17.25" style="120" bestFit="1" customWidth="1"/>
    <col min="12295" max="12295" width="12.25" style="120" customWidth="1"/>
    <col min="12296" max="12544" width="17.625" style="120"/>
    <col min="12545" max="12545" width="9.25" style="120" customWidth="1"/>
    <col min="12546" max="12546" width="39.875" style="120" customWidth="1"/>
    <col min="12547" max="12547" width="15" style="120" bestFit="1" customWidth="1"/>
    <col min="12548" max="12548" width="10.375" style="120" bestFit="1" customWidth="1"/>
    <col min="12549" max="12549" width="12.25" style="120" bestFit="1" customWidth="1"/>
    <col min="12550" max="12550" width="17.25" style="120" bestFit="1" customWidth="1"/>
    <col min="12551" max="12551" width="12.25" style="120" customWidth="1"/>
    <col min="12552" max="12800" width="17.625" style="120"/>
    <col min="12801" max="12801" width="9.25" style="120" customWidth="1"/>
    <col min="12802" max="12802" width="39.875" style="120" customWidth="1"/>
    <col min="12803" max="12803" width="15" style="120" bestFit="1" customWidth="1"/>
    <col min="12804" max="12804" width="10.375" style="120" bestFit="1" customWidth="1"/>
    <col min="12805" max="12805" width="12.25" style="120" bestFit="1" customWidth="1"/>
    <col min="12806" max="12806" width="17.25" style="120" bestFit="1" customWidth="1"/>
    <col min="12807" max="12807" width="12.25" style="120" customWidth="1"/>
    <col min="12808" max="13056" width="17.625" style="120"/>
    <col min="13057" max="13057" width="9.25" style="120" customWidth="1"/>
    <col min="13058" max="13058" width="39.875" style="120" customWidth="1"/>
    <col min="13059" max="13059" width="15" style="120" bestFit="1" customWidth="1"/>
    <col min="13060" max="13060" width="10.375" style="120" bestFit="1" customWidth="1"/>
    <col min="13061" max="13061" width="12.25" style="120" bestFit="1" customWidth="1"/>
    <col min="13062" max="13062" width="17.25" style="120" bestFit="1" customWidth="1"/>
    <col min="13063" max="13063" width="12.25" style="120" customWidth="1"/>
    <col min="13064" max="13312" width="17.625" style="120"/>
    <col min="13313" max="13313" width="9.25" style="120" customWidth="1"/>
    <col min="13314" max="13314" width="39.875" style="120" customWidth="1"/>
    <col min="13315" max="13315" width="15" style="120" bestFit="1" customWidth="1"/>
    <col min="13316" max="13316" width="10.375" style="120" bestFit="1" customWidth="1"/>
    <col min="13317" max="13317" width="12.25" style="120" bestFit="1" customWidth="1"/>
    <col min="13318" max="13318" width="17.25" style="120" bestFit="1" customWidth="1"/>
    <col min="13319" max="13319" width="12.25" style="120" customWidth="1"/>
    <col min="13320" max="13568" width="17.625" style="120"/>
    <col min="13569" max="13569" width="9.25" style="120" customWidth="1"/>
    <col min="13570" max="13570" width="39.875" style="120" customWidth="1"/>
    <col min="13571" max="13571" width="15" style="120" bestFit="1" customWidth="1"/>
    <col min="13572" max="13572" width="10.375" style="120" bestFit="1" customWidth="1"/>
    <col min="13573" max="13573" width="12.25" style="120" bestFit="1" customWidth="1"/>
    <col min="13574" max="13574" width="17.25" style="120" bestFit="1" customWidth="1"/>
    <col min="13575" max="13575" width="12.25" style="120" customWidth="1"/>
    <col min="13576" max="13824" width="17.625" style="120"/>
    <col min="13825" max="13825" width="9.25" style="120" customWidth="1"/>
    <col min="13826" max="13826" width="39.875" style="120" customWidth="1"/>
    <col min="13827" max="13827" width="15" style="120" bestFit="1" customWidth="1"/>
    <col min="13828" max="13828" width="10.375" style="120" bestFit="1" customWidth="1"/>
    <col min="13829" max="13829" width="12.25" style="120" bestFit="1" customWidth="1"/>
    <col min="13830" max="13830" width="17.25" style="120" bestFit="1" customWidth="1"/>
    <col min="13831" max="13831" width="12.25" style="120" customWidth="1"/>
    <col min="13832" max="14080" width="17.625" style="120"/>
    <col min="14081" max="14081" width="9.25" style="120" customWidth="1"/>
    <col min="14082" max="14082" width="39.875" style="120" customWidth="1"/>
    <col min="14083" max="14083" width="15" style="120" bestFit="1" customWidth="1"/>
    <col min="14084" max="14084" width="10.375" style="120" bestFit="1" customWidth="1"/>
    <col min="14085" max="14085" width="12.25" style="120" bestFit="1" customWidth="1"/>
    <col min="14086" max="14086" width="17.25" style="120" bestFit="1" customWidth="1"/>
    <col min="14087" max="14087" width="12.25" style="120" customWidth="1"/>
    <col min="14088" max="14336" width="17.625" style="120"/>
    <col min="14337" max="14337" width="9.25" style="120" customWidth="1"/>
    <col min="14338" max="14338" width="39.875" style="120" customWidth="1"/>
    <col min="14339" max="14339" width="15" style="120" bestFit="1" customWidth="1"/>
    <col min="14340" max="14340" width="10.375" style="120" bestFit="1" customWidth="1"/>
    <col min="14341" max="14341" width="12.25" style="120" bestFit="1" customWidth="1"/>
    <col min="14342" max="14342" width="17.25" style="120" bestFit="1" customWidth="1"/>
    <col min="14343" max="14343" width="12.25" style="120" customWidth="1"/>
    <col min="14344" max="14592" width="17.625" style="120"/>
    <col min="14593" max="14593" width="9.25" style="120" customWidth="1"/>
    <col min="14594" max="14594" width="39.875" style="120" customWidth="1"/>
    <col min="14595" max="14595" width="15" style="120" bestFit="1" customWidth="1"/>
    <col min="14596" max="14596" width="10.375" style="120" bestFit="1" customWidth="1"/>
    <col min="14597" max="14597" width="12.25" style="120" bestFit="1" customWidth="1"/>
    <col min="14598" max="14598" width="17.25" style="120" bestFit="1" customWidth="1"/>
    <col min="14599" max="14599" width="12.25" style="120" customWidth="1"/>
    <col min="14600" max="14848" width="17.625" style="120"/>
    <col min="14849" max="14849" width="9.25" style="120" customWidth="1"/>
    <col min="14850" max="14850" width="39.875" style="120" customWidth="1"/>
    <col min="14851" max="14851" width="15" style="120" bestFit="1" customWidth="1"/>
    <col min="14852" max="14852" width="10.375" style="120" bestFit="1" customWidth="1"/>
    <col min="14853" max="14853" width="12.25" style="120" bestFit="1" customWidth="1"/>
    <col min="14854" max="14854" width="17.25" style="120" bestFit="1" customWidth="1"/>
    <col min="14855" max="14855" width="12.25" style="120" customWidth="1"/>
    <col min="14856" max="15104" width="17.625" style="120"/>
    <col min="15105" max="15105" width="9.25" style="120" customWidth="1"/>
    <col min="15106" max="15106" width="39.875" style="120" customWidth="1"/>
    <col min="15107" max="15107" width="15" style="120" bestFit="1" customWidth="1"/>
    <col min="15108" max="15108" width="10.375" style="120" bestFit="1" customWidth="1"/>
    <col min="15109" max="15109" width="12.25" style="120" bestFit="1" customWidth="1"/>
    <col min="15110" max="15110" width="17.25" style="120" bestFit="1" customWidth="1"/>
    <col min="15111" max="15111" width="12.25" style="120" customWidth="1"/>
    <col min="15112" max="15360" width="17.625" style="120"/>
    <col min="15361" max="15361" width="9.25" style="120" customWidth="1"/>
    <col min="15362" max="15362" width="39.875" style="120" customWidth="1"/>
    <col min="15363" max="15363" width="15" style="120" bestFit="1" customWidth="1"/>
    <col min="15364" max="15364" width="10.375" style="120" bestFit="1" customWidth="1"/>
    <col min="15365" max="15365" width="12.25" style="120" bestFit="1" customWidth="1"/>
    <col min="15366" max="15366" width="17.25" style="120" bestFit="1" customWidth="1"/>
    <col min="15367" max="15367" width="12.25" style="120" customWidth="1"/>
    <col min="15368" max="15616" width="17.625" style="120"/>
    <col min="15617" max="15617" width="9.25" style="120" customWidth="1"/>
    <col min="15618" max="15618" width="39.875" style="120" customWidth="1"/>
    <col min="15619" max="15619" width="15" style="120" bestFit="1" customWidth="1"/>
    <col min="15620" max="15620" width="10.375" style="120" bestFit="1" customWidth="1"/>
    <col min="15621" max="15621" width="12.25" style="120" bestFit="1" customWidth="1"/>
    <col min="15622" max="15622" width="17.25" style="120" bestFit="1" customWidth="1"/>
    <col min="15623" max="15623" width="12.25" style="120" customWidth="1"/>
    <col min="15624" max="15872" width="17.625" style="120"/>
    <col min="15873" max="15873" width="9.25" style="120" customWidth="1"/>
    <col min="15874" max="15874" width="39.875" style="120" customWidth="1"/>
    <col min="15875" max="15875" width="15" style="120" bestFit="1" customWidth="1"/>
    <col min="15876" max="15876" width="10.375" style="120" bestFit="1" customWidth="1"/>
    <col min="15877" max="15877" width="12.25" style="120" bestFit="1" customWidth="1"/>
    <col min="15878" max="15878" width="17.25" style="120" bestFit="1" customWidth="1"/>
    <col min="15879" max="15879" width="12.25" style="120" customWidth="1"/>
    <col min="15880" max="16128" width="17.625" style="120"/>
    <col min="16129" max="16129" width="9.25" style="120" customWidth="1"/>
    <col min="16130" max="16130" width="39.875" style="120" customWidth="1"/>
    <col min="16131" max="16131" width="15" style="120" bestFit="1" customWidth="1"/>
    <col min="16132" max="16132" width="10.375" style="120" bestFit="1" customWidth="1"/>
    <col min="16133" max="16133" width="12.25" style="120" bestFit="1" customWidth="1"/>
    <col min="16134" max="16134" width="17.25" style="120" bestFit="1" customWidth="1"/>
    <col min="16135" max="16135" width="12.25" style="120" customWidth="1"/>
    <col min="16136" max="16384" width="17.625" style="120"/>
  </cols>
  <sheetData>
    <row r="1" spans="1:7" s="118" customFormat="1" x14ac:dyDescent="0.35">
      <c r="A1" s="117"/>
      <c r="B1" s="117"/>
    </row>
    <row r="2" spans="1:7" s="118" customFormat="1" x14ac:dyDescent="0.35">
      <c r="B2" s="121" t="s">
        <v>267</v>
      </c>
    </row>
    <row r="3" spans="1:7" s="118" customFormat="1" x14ac:dyDescent="0.35">
      <c r="B3" s="557"/>
    </row>
    <row r="4" spans="1:7" s="118" customFormat="1" x14ac:dyDescent="0.35">
      <c r="B4" s="558" t="s">
        <v>7</v>
      </c>
      <c r="C4" s="559" t="s">
        <v>8</v>
      </c>
    </row>
    <row r="5" spans="1:7" s="118" customFormat="1" x14ac:dyDescent="0.35">
      <c r="A5" s="117"/>
      <c r="B5" s="294" t="str">
        <f>IF(ISBLANK(Directions!C6), "Owner", Directions!C6)</f>
        <v>Owner</v>
      </c>
      <c r="C5" s="560" t="str">
        <f>IF(ISBLANK(Directions!D6), "Company 1", Directions!D6)</f>
        <v>Company 1</v>
      </c>
      <c r="D5" s="126"/>
      <c r="E5" s="126"/>
    </row>
    <row r="6" spans="1:7" s="118" customFormat="1" x14ac:dyDescent="0.35">
      <c r="A6" s="183"/>
      <c r="B6" s="183"/>
      <c r="C6" s="127"/>
      <c r="D6" s="126"/>
      <c r="E6" s="126"/>
    </row>
    <row r="7" spans="1:7" ht="16.5" thickBot="1" x14ac:dyDescent="0.4">
      <c r="B7" s="129" t="s">
        <v>268</v>
      </c>
      <c r="C7" s="129" t="s">
        <v>269</v>
      </c>
      <c r="D7" s="129" t="s">
        <v>270</v>
      </c>
      <c r="E7" s="129" t="s">
        <v>271</v>
      </c>
      <c r="F7" s="129" t="s">
        <v>272</v>
      </c>
      <c r="G7" s="129" t="s">
        <v>12</v>
      </c>
    </row>
    <row r="8" spans="1:7" ht="16.5" thickTop="1" x14ac:dyDescent="0.35">
      <c r="A8" s="183"/>
      <c r="B8" s="561" t="s">
        <v>273</v>
      </c>
      <c r="C8" s="562"/>
      <c r="D8" s="563"/>
      <c r="E8" s="131"/>
      <c r="F8" s="131"/>
      <c r="G8" s="131"/>
    </row>
    <row r="9" spans="1:7" x14ac:dyDescent="0.35">
      <c r="A9" s="183"/>
      <c r="B9" s="564" t="s">
        <v>274</v>
      </c>
      <c r="C9" s="565">
        <f>IF('8-BalanceSheet'!D37=0,0,'8-BalanceSheet'!D14/'8-BalanceSheet'!D37)</f>
        <v>0</v>
      </c>
      <c r="D9" s="565">
        <f>IF('8-BalanceSheet'!E37=0,0,'8-BalanceSheet'!E14/'8-BalanceSheet'!E37)</f>
        <v>0</v>
      </c>
      <c r="E9" s="565">
        <f>IF('8-BalanceSheet'!F37=0,0,'8-BalanceSheet'!F14/'8-BalanceSheet'!F37)</f>
        <v>0</v>
      </c>
      <c r="F9" s="566"/>
      <c r="G9" s="138"/>
    </row>
    <row r="10" spans="1:7" s="118" customFormat="1" x14ac:dyDescent="0.35">
      <c r="A10" s="183"/>
      <c r="B10" s="564" t="s">
        <v>275</v>
      </c>
      <c r="C10" s="565">
        <f>IF('8-BalanceSheet'!D37=0,0,('8-BalanceSheet'!D9+'8-BalanceSheet'!D10)/'8-BalanceSheet'!D37)</f>
        <v>0</v>
      </c>
      <c r="D10" s="565">
        <f>IF('8-BalanceSheet'!E37=0,0,('8-BalanceSheet'!E9+'8-BalanceSheet'!E10)/'8-BalanceSheet'!E37)</f>
        <v>0</v>
      </c>
      <c r="E10" s="565">
        <f>IF('8-BalanceSheet'!F37=0,0,('8-BalanceSheet'!F9+'8-BalanceSheet'!F10)/'8-BalanceSheet'!F37)</f>
        <v>0</v>
      </c>
      <c r="F10" s="566"/>
      <c r="G10" s="138"/>
    </row>
    <row r="11" spans="1:7" x14ac:dyDescent="0.35">
      <c r="A11" s="183"/>
      <c r="B11" s="567" t="s">
        <v>276</v>
      </c>
      <c r="C11" s="565"/>
      <c r="D11" s="565"/>
      <c r="E11" s="565"/>
      <c r="F11" s="566"/>
      <c r="G11" s="138"/>
    </row>
    <row r="12" spans="1:7" x14ac:dyDescent="0.35">
      <c r="A12" s="183"/>
      <c r="B12" s="564" t="s">
        <v>277</v>
      </c>
      <c r="C12" s="565">
        <f>IF('8-BalanceSheet'!D42=0,0,'8-BalanceSheet'!D37/'8-BalanceSheet'!D42)</f>
        <v>0</v>
      </c>
      <c r="D12" s="565">
        <f>IF('8-BalanceSheet'!E42=0,0,'8-BalanceSheet'!E37/'8-BalanceSheet'!E42)</f>
        <v>0</v>
      </c>
      <c r="E12" s="565">
        <f>IF('8-BalanceSheet'!F42=0,0,'8-BalanceSheet'!F37/'8-BalanceSheet'!F42)</f>
        <v>0</v>
      </c>
      <c r="F12" s="566"/>
      <c r="G12" s="138"/>
    </row>
    <row r="13" spans="1:7" x14ac:dyDescent="0.35">
      <c r="A13" s="183"/>
      <c r="B13" s="564" t="s">
        <v>278</v>
      </c>
      <c r="C13" s="565">
        <f>IF('8-BalanceSheet'!D37=0,0,('7a-IncomeStatementYear1'!O60+'7a-IncomeStatementYear1'!O48)/'8-BalanceSheet'!D37)</f>
        <v>0</v>
      </c>
      <c r="D13" s="565">
        <f>IF('8-BalanceSheet'!E37=0,0,('7b-IncomeStatementYrs1-3'!E47+NetIncomeY2)/'8-BalanceSheet'!E37)</f>
        <v>0</v>
      </c>
      <c r="E13" s="565">
        <f>IF('8-BalanceSheet'!F37=0,0,('7b-IncomeStatementYrs1-3'!G47+NetIncomeY3)/'8-BalanceSheet'!F37)</f>
        <v>0</v>
      </c>
      <c r="F13" s="566"/>
      <c r="G13" s="138"/>
    </row>
    <row r="14" spans="1:7" x14ac:dyDescent="0.35">
      <c r="A14" s="183"/>
      <c r="B14" s="567" t="s">
        <v>279</v>
      </c>
      <c r="C14" s="568"/>
      <c r="D14" s="568"/>
      <c r="E14" s="568"/>
      <c r="F14" s="138"/>
      <c r="G14" s="138"/>
    </row>
    <row r="15" spans="1:7" x14ac:dyDescent="0.35">
      <c r="A15" s="183"/>
      <c r="B15" s="564" t="s">
        <v>280</v>
      </c>
      <c r="C15" s="569">
        <v>0</v>
      </c>
      <c r="D15" s="569">
        <f>IF('7b-IncomeStatementYrs1-3'!C14=0,0,('7b-IncomeStatementYrs1-3'!E14- '7b-IncomeStatementYrs1-3'!C14)/'7b-IncomeStatementYrs1-3'!C14)</f>
        <v>0</v>
      </c>
      <c r="E15" s="569">
        <f>IF('7b-IncomeStatementYrs1-3'!E14=0,0,('7b-IncomeStatementYrs1-3'!G14- '7b-IncomeStatementYrs1-3'!E14)/'7b-IncomeStatementYrs1-3'!E14)</f>
        <v>0</v>
      </c>
      <c r="F15" s="570"/>
      <c r="G15" s="138"/>
    </row>
    <row r="16" spans="1:7" x14ac:dyDescent="0.35">
      <c r="A16" s="183"/>
      <c r="B16" s="564" t="s">
        <v>281</v>
      </c>
      <c r="C16" s="569">
        <f>IF('7b-IncomeStatementYrs1-3'!C14=0,0,'7b-IncomeStatementYrs1-3'!C22/'7b-IncomeStatementYrs1-3'!C14)</f>
        <v>0</v>
      </c>
      <c r="D16" s="569">
        <f>IF('7b-IncomeStatementYrs1-3'!E14=0,0,'7b-IncomeStatementYrs1-3'!E22/'7b-IncomeStatementYrs1-3'!E14)</f>
        <v>0</v>
      </c>
      <c r="E16" s="569">
        <f>IF('7b-IncomeStatementYrs1-3'!G14=0,0,'7b-IncomeStatementYrs1-3'!G22/'7b-IncomeStatementYrs1-3'!G14)</f>
        <v>0</v>
      </c>
      <c r="F16" s="570"/>
      <c r="G16" s="138"/>
    </row>
    <row r="17" spans="1:8" s="118" customFormat="1" x14ac:dyDescent="0.35">
      <c r="A17" s="183"/>
      <c r="B17" s="564" t="s">
        <v>282</v>
      </c>
      <c r="C17" s="569">
        <f>BreakevenAnalysis!C11</f>
        <v>0</v>
      </c>
      <c r="D17" s="569">
        <f>IF('7b-IncomeStatementYrs1-3'!E14=0,0,'7b-IncomeStatementYrs1-3'!E23/'7b-IncomeStatementYrs1-3'!E14)</f>
        <v>0</v>
      </c>
      <c r="E17" s="569">
        <f>IF('7b-IncomeStatementYrs1-3'!G14=0,0,'7b-IncomeStatementYrs1-3'!G23/'7b-IncomeStatementYrs1-3'!G14)</f>
        <v>0</v>
      </c>
      <c r="F17" s="570"/>
      <c r="G17" s="138"/>
    </row>
    <row r="18" spans="1:8" x14ac:dyDescent="0.35">
      <c r="A18" s="183"/>
      <c r="B18" s="564" t="s">
        <v>283</v>
      </c>
      <c r="C18" s="569">
        <f>IF('7a-IncomeStatementYear1'!O15=0,0,('7a-IncomeStatementYear1'!O25+'7a-IncomeStatementYear1'!O44)/'7a-IncomeStatementYear1'!O15)</f>
        <v>0</v>
      </c>
      <c r="D18" s="569">
        <f>IF('7b-IncomeStatementYrs1-3'!E14=0,0,('7b-IncomeStatementYrs1-3'!E24+'7b-IncomeStatementYrs1-3'!E43)/'7b-IncomeStatementYrs1-3'!E14)</f>
        <v>0</v>
      </c>
      <c r="E18" s="569">
        <f>IF('7b-IncomeStatementYrs1-3'!G14=0,0,('7b-IncomeStatementYrs1-3'!G24+'7b-IncomeStatementYrs1-3'!G43)/'7b-IncomeStatementYrs1-3'!G14)</f>
        <v>0</v>
      </c>
      <c r="F18" s="570"/>
      <c r="G18" s="138"/>
    </row>
    <row r="19" spans="1:8" x14ac:dyDescent="0.35">
      <c r="A19" s="183"/>
      <c r="B19" s="564" t="s">
        <v>284</v>
      </c>
      <c r="C19" s="569">
        <f>IF('7b-IncomeStatementYrs1-3'!C14=0,0,NetIncomeY1/'7b-IncomeStatementYrs1-3'!C14)</f>
        <v>0</v>
      </c>
      <c r="D19" s="569">
        <f>IF('7b-IncomeStatementYrs1-3'!E14=0,0,NetIncomeY2/'7b-IncomeStatementYrs1-3'!E14)</f>
        <v>0</v>
      </c>
      <c r="E19" s="569">
        <f>IF('7b-IncomeStatementYrs1-3'!G14=0,0,NetIncomeY3/'7b-IncomeStatementYrs1-3'!G14)</f>
        <v>0</v>
      </c>
      <c r="F19" s="570"/>
      <c r="G19" s="138"/>
    </row>
    <row r="20" spans="1:8" x14ac:dyDescent="0.35">
      <c r="A20" s="183"/>
      <c r="B20" s="564" t="s">
        <v>285</v>
      </c>
      <c r="C20" s="569">
        <f>IF('8-BalanceSheet'!D42=0,0, NetIncomeY1/'8-BalanceSheet'!D42)</f>
        <v>0</v>
      </c>
      <c r="D20" s="569">
        <f>IF('8-BalanceSheet'!E42=0,0, NetIncomeY2/'8-BalanceSheet'!E42)</f>
        <v>0</v>
      </c>
      <c r="E20" s="569">
        <f>IF('8-BalanceSheet'!F42=0,0, NetIncomeY3/'8-BalanceSheet'!F42)</f>
        <v>0</v>
      </c>
      <c r="F20" s="570"/>
      <c r="G20" s="138"/>
    </row>
    <row r="21" spans="1:8" x14ac:dyDescent="0.35">
      <c r="A21" s="183"/>
      <c r="B21" s="564" t="s">
        <v>286</v>
      </c>
      <c r="C21" s="569">
        <f>IF('8-BalanceSheet'!D26=0,0, NetIncomeY1/'8-BalanceSheet'!D26)</f>
        <v>0</v>
      </c>
      <c r="D21" s="569">
        <f>IF('8-BalanceSheet'!E26=0,0, NetIncomeY2/'8-BalanceSheet'!E26)</f>
        <v>0</v>
      </c>
      <c r="E21" s="569">
        <f>IF('8-BalanceSheet'!F26=0,0, NetIncomeY3/'8-BalanceSheet'!F26)</f>
        <v>0</v>
      </c>
      <c r="F21" s="570"/>
      <c r="G21" s="138"/>
    </row>
    <row r="22" spans="1:8" x14ac:dyDescent="0.35">
      <c r="A22" s="183"/>
      <c r="B22" s="564" t="s">
        <v>287</v>
      </c>
      <c r="C22" s="569">
        <f>IF('7b-IncomeStatementYrs1-3'!C14=0,0,'2b-PayrollYrs1-3'!C9/'7b-IncomeStatementYrs1-3'!C14)</f>
        <v>0</v>
      </c>
      <c r="D22" s="569">
        <f>IF('7b-IncomeStatementYrs1-3'!E14=0,0,'2b-PayrollYrs1-3'!E9/'7b-IncomeStatementYrs1-3'!E14)</f>
        <v>0</v>
      </c>
      <c r="E22" s="569">
        <f>IF('7b-IncomeStatementYrs1-3'!G14=0,0,'2b-PayrollYrs1-3'!G9/'7b-IncomeStatementYrs1-3'!G14)</f>
        <v>0</v>
      </c>
      <c r="F22" s="570"/>
      <c r="G22" s="138"/>
    </row>
    <row r="23" spans="1:8" x14ac:dyDescent="0.35">
      <c r="A23" s="183"/>
      <c r="B23" s="567" t="s">
        <v>288</v>
      </c>
      <c r="C23" s="568"/>
      <c r="D23" s="568"/>
      <c r="E23" s="568"/>
      <c r="F23" s="138"/>
      <c r="G23" s="138"/>
    </row>
    <row r="24" spans="1:8" s="370" customFormat="1" x14ac:dyDescent="0.35">
      <c r="A24" s="183"/>
      <c r="B24" s="564" t="s">
        <v>289</v>
      </c>
      <c r="C24" s="565">
        <f>IF('7b-IncomeStatementYrs1-3'!C14=0,0, '8-BalanceSheet'!D10/'7b-IncomeStatementYrs1-3'!C14 * 360)</f>
        <v>0</v>
      </c>
      <c r="D24" s="565">
        <f>IF('7b-IncomeStatementYrs1-3'!E14=0,0,'8-BalanceSheet'!E10/'7b-IncomeStatementYrs1-3'!E14)*360</f>
        <v>0</v>
      </c>
      <c r="E24" s="565">
        <f>IF('7b-IncomeStatementYrs1-3'!G14=0,0, '8-BalanceSheet'!F10/'7b-IncomeStatementYrs1-3'!G14 * 360)</f>
        <v>0</v>
      </c>
      <c r="F24" s="566"/>
      <c r="G24" s="138"/>
    </row>
    <row r="25" spans="1:8" s="118" customFormat="1" x14ac:dyDescent="0.35">
      <c r="A25" s="183"/>
      <c r="B25" s="564" t="s">
        <v>290</v>
      </c>
      <c r="C25" s="565">
        <f>IF('8-BalanceSheet'!D10=0,0,'7b-IncomeStatementYrs1-3'!C14/'8-BalanceSheet'!D10)</f>
        <v>0</v>
      </c>
      <c r="D25" s="565">
        <f>IF('8-BalanceSheet'!E10=0,0,'7b-IncomeStatementYrs1-3'!E14/'8-BalanceSheet'!E10)</f>
        <v>0</v>
      </c>
      <c r="E25" s="565">
        <f>IF('8-BalanceSheet'!F10=0,0,'7b-IncomeStatementYrs1-3'!G14/'8-BalanceSheet'!F10)</f>
        <v>0</v>
      </c>
      <c r="F25" s="566"/>
      <c r="G25" s="138"/>
    </row>
    <row r="26" spans="1:8" x14ac:dyDescent="0.35">
      <c r="A26" s="183"/>
      <c r="B26" s="564" t="s">
        <v>291</v>
      </c>
      <c r="C26" s="565">
        <f>IF('7b-IncomeStatementYrs1-3'!C22=0,0,'8-BalanceSheet'!D11/'7b-IncomeStatementYrs1-3'!C22*360)</f>
        <v>0</v>
      </c>
      <c r="D26" s="565">
        <f>IF('7b-IncomeStatementYrs1-3'!E22=0,0,'8-BalanceSheet'!E11/'7b-IncomeStatementYrs1-3'!E22*365)</f>
        <v>0</v>
      </c>
      <c r="E26" s="565">
        <f>IF('7b-IncomeStatementYrs1-3'!G22=0,0,'8-BalanceSheet'!F11/'7b-IncomeStatementYrs1-3'!G22*365)</f>
        <v>0</v>
      </c>
      <c r="F26" s="566"/>
      <c r="G26" s="138"/>
    </row>
    <row r="27" spans="1:8" x14ac:dyDescent="0.35">
      <c r="A27" s="183"/>
      <c r="B27" s="564" t="s">
        <v>292</v>
      </c>
      <c r="C27" s="565">
        <f>IF('8-BalanceSheet'!D11=0,0,'7b-IncomeStatementYrs1-3'!C22/'8-BalanceSheet'!D11)</f>
        <v>0</v>
      </c>
      <c r="D27" s="565">
        <f>IF('8-BalanceSheet'!E11=0,0,'7b-IncomeStatementYrs1-3'!E22/'8-BalanceSheet'!E11)</f>
        <v>0</v>
      </c>
      <c r="E27" s="565">
        <f>IF('8-BalanceSheet'!F11=0,0,'7b-IncomeStatementYrs1-3'!G22/'8-BalanceSheet'!F11)</f>
        <v>0</v>
      </c>
      <c r="F27" s="566"/>
      <c r="G27" s="138"/>
    </row>
    <row r="28" spans="1:8" s="370" customFormat="1" x14ac:dyDescent="0.35">
      <c r="A28" s="183"/>
      <c r="B28" s="564" t="s">
        <v>293</v>
      </c>
      <c r="C28" s="565">
        <f>IF('8-BalanceSheet'!D26=0,0,'7b-IncomeStatementYrs1-3'!C14/'8-BalanceSheet'!D26)</f>
        <v>0</v>
      </c>
      <c r="D28" s="565">
        <f>IF('8-BalanceSheet'!E26=0,0,'7b-IncomeStatementYrs1-3'!E14/'8-BalanceSheet'!E26)</f>
        <v>0</v>
      </c>
      <c r="E28" s="565">
        <f>IF('8-BalanceSheet'!F26=0,0,'7b-IncomeStatementYrs1-3'!G14/'8-BalanceSheet'!F26)</f>
        <v>0</v>
      </c>
      <c r="F28" s="566"/>
      <c r="G28" s="138"/>
    </row>
    <row r="29" spans="1:8" s="118" customFormat="1" x14ac:dyDescent="0.35">
      <c r="A29" s="183"/>
      <c r="B29" s="183"/>
      <c r="C29" s="187"/>
      <c r="D29" s="571"/>
      <c r="E29" s="571"/>
      <c r="F29" s="127"/>
      <c r="G29" s="127"/>
      <c r="H29" s="127"/>
    </row>
    <row r="30" spans="1:8" s="118" customFormat="1" x14ac:dyDescent="0.35">
      <c r="A30" s="183"/>
      <c r="B30" s="571"/>
      <c r="C30" s="571"/>
      <c r="D30" s="571"/>
      <c r="E30" s="127"/>
    </row>
    <row r="31" spans="1:8" x14ac:dyDescent="0.35">
      <c r="A31" s="183"/>
      <c r="B31" s="571"/>
      <c r="C31" s="571"/>
      <c r="D31" s="571"/>
      <c r="E31" s="127"/>
    </row>
    <row r="32" spans="1:8" x14ac:dyDescent="0.35">
      <c r="A32" s="183"/>
      <c r="B32" s="571"/>
      <c r="C32" s="571"/>
      <c r="D32" s="571"/>
      <c r="E32" s="127"/>
    </row>
    <row r="33" spans="2:3" x14ac:dyDescent="0.35">
      <c r="B33" s="183"/>
      <c r="C33" s="571"/>
    </row>
  </sheetData>
  <sheetProtection formatColumns="0" formatRows="0"/>
  <conditionalFormatting sqref="F9:F10">
    <cfRule type="containsBlanks" dxfId="5" priority="3">
      <formula>LEN(TRIM(F9))=0</formula>
    </cfRule>
  </conditionalFormatting>
  <conditionalFormatting sqref="F12:F13">
    <cfRule type="containsBlanks" dxfId="4" priority="2">
      <formula>LEN(TRIM(F12))=0</formula>
    </cfRule>
  </conditionalFormatting>
  <conditionalFormatting sqref="F15:F22">
    <cfRule type="containsBlanks" dxfId="3" priority="4">
      <formula>LEN(TRIM(F15))=0</formula>
    </cfRule>
  </conditionalFormatting>
  <conditionalFormatting sqref="F24:F28">
    <cfRule type="containsBlanks" dxfId="2" priority="1">
      <formula>LEN(TRIM(F24))=0</formula>
    </cfRule>
  </conditionalFormatting>
  <printOptions horizontalCentered="1" verticalCentered="1"/>
  <pageMargins left="0.25" right="0.25" top="0.75" bottom="0.75" header="0.3" footer="0.3"/>
  <pageSetup orientation="landscape" r:id="rId1"/>
  <headerFooter scaleWithDoc="0">
    <oddHeader>&amp;C&amp;"Gill Sans MT,Regular"&amp;12Financial Ratios - Year 1</oddHeader>
    <oddFooter>&amp;L&amp;"Gill Sans MT,Regular"&amp;12&amp;F&amp;C&amp;"Gill Sans MT,Regular"&amp;12&amp;A&amp;R&amp;"Gill Sans MT,Regular"&amp;12&amp;D &amp;T</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BC4C7"/>
    <pageSetUpPr fitToPage="1"/>
  </sheetPr>
  <dimension ref="A1:H40"/>
  <sheetViews>
    <sheetView zoomScaleNormal="100" workbookViewId="0">
      <selection activeCell="J32" sqref="J32"/>
    </sheetView>
  </sheetViews>
  <sheetFormatPr defaultColWidth="9.125" defaultRowHeight="15.75" x14ac:dyDescent="0.35"/>
  <cols>
    <col min="1" max="1" width="6.25" style="118" customWidth="1"/>
    <col min="2" max="2" width="41.125" style="120" customWidth="1"/>
    <col min="3" max="3" width="11.75" style="120" bestFit="1" customWidth="1"/>
    <col min="4" max="4" width="53.75" style="120" customWidth="1"/>
    <col min="5" max="5" width="9.125" style="118"/>
    <col min="6" max="6" width="23.25" style="120" bestFit="1" customWidth="1"/>
    <col min="7" max="256" width="9.125" style="120"/>
    <col min="257" max="257" width="6.25" style="120" customWidth="1"/>
    <col min="258" max="258" width="41.125" style="120" customWidth="1"/>
    <col min="259" max="259" width="11.75" style="120" bestFit="1" customWidth="1"/>
    <col min="260" max="260" width="53.75" style="120" customWidth="1"/>
    <col min="261" max="261" width="9.125" style="120"/>
    <col min="262" max="262" width="23.25" style="120" bestFit="1" customWidth="1"/>
    <col min="263" max="512" width="9.125" style="120"/>
    <col min="513" max="513" width="6.25" style="120" customWidth="1"/>
    <col min="514" max="514" width="41.125" style="120" customWidth="1"/>
    <col min="515" max="515" width="11.75" style="120" bestFit="1" customWidth="1"/>
    <col min="516" max="516" width="53.75" style="120" customWidth="1"/>
    <col min="517" max="517" width="9.125" style="120"/>
    <col min="518" max="518" width="23.25" style="120" bestFit="1" customWidth="1"/>
    <col min="519" max="768" width="9.125" style="120"/>
    <col min="769" max="769" width="6.25" style="120" customWidth="1"/>
    <col min="770" max="770" width="41.125" style="120" customWidth="1"/>
    <col min="771" max="771" width="11.75" style="120" bestFit="1" customWidth="1"/>
    <col min="772" max="772" width="53.75" style="120" customWidth="1"/>
    <col min="773" max="773" width="9.125" style="120"/>
    <col min="774" max="774" width="23.25" style="120" bestFit="1" customWidth="1"/>
    <col min="775" max="1024" width="9.125" style="120"/>
    <col min="1025" max="1025" width="6.25" style="120" customWidth="1"/>
    <col min="1026" max="1026" width="41.125" style="120" customWidth="1"/>
    <col min="1027" max="1027" width="11.75" style="120" bestFit="1" customWidth="1"/>
    <col min="1028" max="1028" width="53.75" style="120" customWidth="1"/>
    <col min="1029" max="1029" width="9.125" style="120"/>
    <col min="1030" max="1030" width="23.25" style="120" bestFit="1" customWidth="1"/>
    <col min="1031" max="1280" width="9.125" style="120"/>
    <col min="1281" max="1281" width="6.25" style="120" customWidth="1"/>
    <col min="1282" max="1282" width="41.125" style="120" customWidth="1"/>
    <col min="1283" max="1283" width="11.75" style="120" bestFit="1" customWidth="1"/>
    <col min="1284" max="1284" width="53.75" style="120" customWidth="1"/>
    <col min="1285" max="1285" width="9.125" style="120"/>
    <col min="1286" max="1286" width="23.25" style="120" bestFit="1" customWidth="1"/>
    <col min="1287" max="1536" width="9.125" style="120"/>
    <col min="1537" max="1537" width="6.25" style="120" customWidth="1"/>
    <col min="1538" max="1538" width="41.125" style="120" customWidth="1"/>
    <col min="1539" max="1539" width="11.75" style="120" bestFit="1" customWidth="1"/>
    <col min="1540" max="1540" width="53.75" style="120" customWidth="1"/>
    <col min="1541" max="1541" width="9.125" style="120"/>
    <col min="1542" max="1542" width="23.25" style="120" bestFit="1" customWidth="1"/>
    <col min="1543" max="1792" width="9.125" style="120"/>
    <col min="1793" max="1793" width="6.25" style="120" customWidth="1"/>
    <col min="1794" max="1794" width="41.125" style="120" customWidth="1"/>
    <col min="1795" max="1795" width="11.75" style="120" bestFit="1" customWidth="1"/>
    <col min="1796" max="1796" width="53.75" style="120" customWidth="1"/>
    <col min="1797" max="1797" width="9.125" style="120"/>
    <col min="1798" max="1798" width="23.25" style="120" bestFit="1" customWidth="1"/>
    <col min="1799" max="2048" width="9.125" style="120"/>
    <col min="2049" max="2049" width="6.25" style="120" customWidth="1"/>
    <col min="2050" max="2050" width="41.125" style="120" customWidth="1"/>
    <col min="2051" max="2051" width="11.75" style="120" bestFit="1" customWidth="1"/>
    <col min="2052" max="2052" width="53.75" style="120" customWidth="1"/>
    <col min="2053" max="2053" width="9.125" style="120"/>
    <col min="2054" max="2054" width="23.25" style="120" bestFit="1" customWidth="1"/>
    <col min="2055" max="2304" width="9.125" style="120"/>
    <col min="2305" max="2305" width="6.25" style="120" customWidth="1"/>
    <col min="2306" max="2306" width="41.125" style="120" customWidth="1"/>
    <col min="2307" max="2307" width="11.75" style="120" bestFit="1" customWidth="1"/>
    <col min="2308" max="2308" width="53.75" style="120" customWidth="1"/>
    <col min="2309" max="2309" width="9.125" style="120"/>
    <col min="2310" max="2310" width="23.25" style="120" bestFit="1" customWidth="1"/>
    <col min="2311" max="2560" width="9.125" style="120"/>
    <col min="2561" max="2561" width="6.25" style="120" customWidth="1"/>
    <col min="2562" max="2562" width="41.125" style="120" customWidth="1"/>
    <col min="2563" max="2563" width="11.75" style="120" bestFit="1" customWidth="1"/>
    <col min="2564" max="2564" width="53.75" style="120" customWidth="1"/>
    <col min="2565" max="2565" width="9.125" style="120"/>
    <col min="2566" max="2566" width="23.25" style="120" bestFit="1" customWidth="1"/>
    <col min="2567" max="2816" width="9.125" style="120"/>
    <col min="2817" max="2817" width="6.25" style="120" customWidth="1"/>
    <col min="2818" max="2818" width="41.125" style="120" customWidth="1"/>
    <col min="2819" max="2819" width="11.75" style="120" bestFit="1" customWidth="1"/>
    <col min="2820" max="2820" width="53.75" style="120" customWidth="1"/>
    <col min="2821" max="2821" width="9.125" style="120"/>
    <col min="2822" max="2822" width="23.25" style="120" bestFit="1" customWidth="1"/>
    <col min="2823" max="3072" width="9.125" style="120"/>
    <col min="3073" max="3073" width="6.25" style="120" customWidth="1"/>
    <col min="3074" max="3074" width="41.125" style="120" customWidth="1"/>
    <col min="3075" max="3075" width="11.75" style="120" bestFit="1" customWidth="1"/>
    <col min="3076" max="3076" width="53.75" style="120" customWidth="1"/>
    <col min="3077" max="3077" width="9.125" style="120"/>
    <col min="3078" max="3078" width="23.25" style="120" bestFit="1" customWidth="1"/>
    <col min="3079" max="3328" width="9.125" style="120"/>
    <col min="3329" max="3329" width="6.25" style="120" customWidth="1"/>
    <col min="3330" max="3330" width="41.125" style="120" customWidth="1"/>
    <col min="3331" max="3331" width="11.75" style="120" bestFit="1" customWidth="1"/>
    <col min="3332" max="3332" width="53.75" style="120" customWidth="1"/>
    <col min="3333" max="3333" width="9.125" style="120"/>
    <col min="3334" max="3334" width="23.25" style="120" bestFit="1" customWidth="1"/>
    <col min="3335" max="3584" width="9.125" style="120"/>
    <col min="3585" max="3585" width="6.25" style="120" customWidth="1"/>
    <col min="3586" max="3586" width="41.125" style="120" customWidth="1"/>
    <col min="3587" max="3587" width="11.75" style="120" bestFit="1" customWidth="1"/>
    <col min="3588" max="3588" width="53.75" style="120" customWidth="1"/>
    <col min="3589" max="3589" width="9.125" style="120"/>
    <col min="3590" max="3590" width="23.25" style="120" bestFit="1" customWidth="1"/>
    <col min="3591" max="3840" width="9.125" style="120"/>
    <col min="3841" max="3841" width="6.25" style="120" customWidth="1"/>
    <col min="3842" max="3842" width="41.125" style="120" customWidth="1"/>
    <col min="3843" max="3843" width="11.75" style="120" bestFit="1" customWidth="1"/>
    <col min="3844" max="3844" width="53.75" style="120" customWidth="1"/>
    <col min="3845" max="3845" width="9.125" style="120"/>
    <col min="3846" max="3846" width="23.25" style="120" bestFit="1" customWidth="1"/>
    <col min="3847" max="4096" width="9.125" style="120"/>
    <col min="4097" max="4097" width="6.25" style="120" customWidth="1"/>
    <col min="4098" max="4098" width="41.125" style="120" customWidth="1"/>
    <col min="4099" max="4099" width="11.75" style="120" bestFit="1" customWidth="1"/>
    <col min="4100" max="4100" width="53.75" style="120" customWidth="1"/>
    <col min="4101" max="4101" width="9.125" style="120"/>
    <col min="4102" max="4102" width="23.25" style="120" bestFit="1" customWidth="1"/>
    <col min="4103" max="4352" width="9.125" style="120"/>
    <col min="4353" max="4353" width="6.25" style="120" customWidth="1"/>
    <col min="4354" max="4354" width="41.125" style="120" customWidth="1"/>
    <col min="4355" max="4355" width="11.75" style="120" bestFit="1" customWidth="1"/>
    <col min="4356" max="4356" width="53.75" style="120" customWidth="1"/>
    <col min="4357" max="4357" width="9.125" style="120"/>
    <col min="4358" max="4358" width="23.25" style="120" bestFit="1" customWidth="1"/>
    <col min="4359" max="4608" width="9.125" style="120"/>
    <col min="4609" max="4609" width="6.25" style="120" customWidth="1"/>
    <col min="4610" max="4610" width="41.125" style="120" customWidth="1"/>
    <col min="4611" max="4611" width="11.75" style="120" bestFit="1" customWidth="1"/>
    <col min="4612" max="4612" width="53.75" style="120" customWidth="1"/>
    <col min="4613" max="4613" width="9.125" style="120"/>
    <col min="4614" max="4614" width="23.25" style="120" bestFit="1" customWidth="1"/>
    <col min="4615" max="4864" width="9.125" style="120"/>
    <col min="4865" max="4865" width="6.25" style="120" customWidth="1"/>
    <col min="4866" max="4866" width="41.125" style="120" customWidth="1"/>
    <col min="4867" max="4867" width="11.75" style="120" bestFit="1" customWidth="1"/>
    <col min="4868" max="4868" width="53.75" style="120" customWidth="1"/>
    <col min="4869" max="4869" width="9.125" style="120"/>
    <col min="4870" max="4870" width="23.25" style="120" bestFit="1" customWidth="1"/>
    <col min="4871" max="5120" width="9.125" style="120"/>
    <col min="5121" max="5121" width="6.25" style="120" customWidth="1"/>
    <col min="5122" max="5122" width="41.125" style="120" customWidth="1"/>
    <col min="5123" max="5123" width="11.75" style="120" bestFit="1" customWidth="1"/>
    <col min="5124" max="5124" width="53.75" style="120" customWidth="1"/>
    <col min="5125" max="5125" width="9.125" style="120"/>
    <col min="5126" max="5126" width="23.25" style="120" bestFit="1" customWidth="1"/>
    <col min="5127" max="5376" width="9.125" style="120"/>
    <col min="5377" max="5377" width="6.25" style="120" customWidth="1"/>
    <col min="5378" max="5378" width="41.125" style="120" customWidth="1"/>
    <col min="5379" max="5379" width="11.75" style="120" bestFit="1" customWidth="1"/>
    <col min="5380" max="5380" width="53.75" style="120" customWidth="1"/>
    <col min="5381" max="5381" width="9.125" style="120"/>
    <col min="5382" max="5382" width="23.25" style="120" bestFit="1" customWidth="1"/>
    <col min="5383" max="5632" width="9.125" style="120"/>
    <col min="5633" max="5633" width="6.25" style="120" customWidth="1"/>
    <col min="5634" max="5634" width="41.125" style="120" customWidth="1"/>
    <col min="5635" max="5635" width="11.75" style="120" bestFit="1" customWidth="1"/>
    <col min="5636" max="5636" width="53.75" style="120" customWidth="1"/>
    <col min="5637" max="5637" width="9.125" style="120"/>
    <col min="5638" max="5638" width="23.25" style="120" bestFit="1" customWidth="1"/>
    <col min="5639" max="5888" width="9.125" style="120"/>
    <col min="5889" max="5889" width="6.25" style="120" customWidth="1"/>
    <col min="5890" max="5890" width="41.125" style="120" customWidth="1"/>
    <col min="5891" max="5891" width="11.75" style="120" bestFit="1" customWidth="1"/>
    <col min="5892" max="5892" width="53.75" style="120" customWidth="1"/>
    <col min="5893" max="5893" width="9.125" style="120"/>
    <col min="5894" max="5894" width="23.25" style="120" bestFit="1" customWidth="1"/>
    <col min="5895" max="6144" width="9.125" style="120"/>
    <col min="6145" max="6145" width="6.25" style="120" customWidth="1"/>
    <col min="6146" max="6146" width="41.125" style="120" customWidth="1"/>
    <col min="6147" max="6147" width="11.75" style="120" bestFit="1" customWidth="1"/>
    <col min="6148" max="6148" width="53.75" style="120" customWidth="1"/>
    <col min="6149" max="6149" width="9.125" style="120"/>
    <col min="6150" max="6150" width="23.25" style="120" bestFit="1" customWidth="1"/>
    <col min="6151" max="6400" width="9.125" style="120"/>
    <col min="6401" max="6401" width="6.25" style="120" customWidth="1"/>
    <col min="6402" max="6402" width="41.125" style="120" customWidth="1"/>
    <col min="6403" max="6403" width="11.75" style="120" bestFit="1" customWidth="1"/>
    <col min="6404" max="6404" width="53.75" style="120" customWidth="1"/>
    <col min="6405" max="6405" width="9.125" style="120"/>
    <col min="6406" max="6406" width="23.25" style="120" bestFit="1" customWidth="1"/>
    <col min="6407" max="6656" width="9.125" style="120"/>
    <col min="6657" max="6657" width="6.25" style="120" customWidth="1"/>
    <col min="6658" max="6658" width="41.125" style="120" customWidth="1"/>
    <col min="6659" max="6659" width="11.75" style="120" bestFit="1" customWidth="1"/>
    <col min="6660" max="6660" width="53.75" style="120" customWidth="1"/>
    <col min="6661" max="6661" width="9.125" style="120"/>
    <col min="6662" max="6662" width="23.25" style="120" bestFit="1" customWidth="1"/>
    <col min="6663" max="6912" width="9.125" style="120"/>
    <col min="6913" max="6913" width="6.25" style="120" customWidth="1"/>
    <col min="6914" max="6914" width="41.125" style="120" customWidth="1"/>
    <col min="6915" max="6915" width="11.75" style="120" bestFit="1" customWidth="1"/>
    <col min="6916" max="6916" width="53.75" style="120" customWidth="1"/>
    <col min="6917" max="6917" width="9.125" style="120"/>
    <col min="6918" max="6918" width="23.25" style="120" bestFit="1" customWidth="1"/>
    <col min="6919" max="7168" width="9.125" style="120"/>
    <col min="7169" max="7169" width="6.25" style="120" customWidth="1"/>
    <col min="7170" max="7170" width="41.125" style="120" customWidth="1"/>
    <col min="7171" max="7171" width="11.75" style="120" bestFit="1" customWidth="1"/>
    <col min="7172" max="7172" width="53.75" style="120" customWidth="1"/>
    <col min="7173" max="7173" width="9.125" style="120"/>
    <col min="7174" max="7174" width="23.25" style="120" bestFit="1" customWidth="1"/>
    <col min="7175" max="7424" width="9.125" style="120"/>
    <col min="7425" max="7425" width="6.25" style="120" customWidth="1"/>
    <col min="7426" max="7426" width="41.125" style="120" customWidth="1"/>
    <col min="7427" max="7427" width="11.75" style="120" bestFit="1" customWidth="1"/>
    <col min="7428" max="7428" width="53.75" style="120" customWidth="1"/>
    <col min="7429" max="7429" width="9.125" style="120"/>
    <col min="7430" max="7430" width="23.25" style="120" bestFit="1" customWidth="1"/>
    <col min="7431" max="7680" width="9.125" style="120"/>
    <col min="7681" max="7681" width="6.25" style="120" customWidth="1"/>
    <col min="7682" max="7682" width="41.125" style="120" customWidth="1"/>
    <col min="7683" max="7683" width="11.75" style="120" bestFit="1" customWidth="1"/>
    <col min="7684" max="7684" width="53.75" style="120" customWidth="1"/>
    <col min="7685" max="7685" width="9.125" style="120"/>
    <col min="7686" max="7686" width="23.25" style="120" bestFit="1" customWidth="1"/>
    <col min="7687" max="7936" width="9.125" style="120"/>
    <col min="7937" max="7937" width="6.25" style="120" customWidth="1"/>
    <col min="7938" max="7938" width="41.125" style="120" customWidth="1"/>
    <col min="7939" max="7939" width="11.75" style="120" bestFit="1" customWidth="1"/>
    <col min="7940" max="7940" width="53.75" style="120" customWidth="1"/>
    <col min="7941" max="7941" width="9.125" style="120"/>
    <col min="7942" max="7942" width="23.25" style="120" bestFit="1" customWidth="1"/>
    <col min="7943" max="8192" width="9.125" style="120"/>
    <col min="8193" max="8193" width="6.25" style="120" customWidth="1"/>
    <col min="8194" max="8194" width="41.125" style="120" customWidth="1"/>
    <col min="8195" max="8195" width="11.75" style="120" bestFit="1" customWidth="1"/>
    <col min="8196" max="8196" width="53.75" style="120" customWidth="1"/>
    <col min="8197" max="8197" width="9.125" style="120"/>
    <col min="8198" max="8198" width="23.25" style="120" bestFit="1" customWidth="1"/>
    <col min="8199" max="8448" width="9.125" style="120"/>
    <col min="8449" max="8449" width="6.25" style="120" customWidth="1"/>
    <col min="8450" max="8450" width="41.125" style="120" customWidth="1"/>
    <col min="8451" max="8451" width="11.75" style="120" bestFit="1" customWidth="1"/>
    <col min="8452" max="8452" width="53.75" style="120" customWidth="1"/>
    <col min="8453" max="8453" width="9.125" style="120"/>
    <col min="8454" max="8454" width="23.25" style="120" bestFit="1" customWidth="1"/>
    <col min="8455" max="8704" width="9.125" style="120"/>
    <col min="8705" max="8705" width="6.25" style="120" customWidth="1"/>
    <col min="8706" max="8706" width="41.125" style="120" customWidth="1"/>
    <col min="8707" max="8707" width="11.75" style="120" bestFit="1" customWidth="1"/>
    <col min="8708" max="8708" width="53.75" style="120" customWidth="1"/>
    <col min="8709" max="8709" width="9.125" style="120"/>
    <col min="8710" max="8710" width="23.25" style="120" bestFit="1" customWidth="1"/>
    <col min="8711" max="8960" width="9.125" style="120"/>
    <col min="8961" max="8961" width="6.25" style="120" customWidth="1"/>
    <col min="8962" max="8962" width="41.125" style="120" customWidth="1"/>
    <col min="8963" max="8963" width="11.75" style="120" bestFit="1" customWidth="1"/>
    <col min="8964" max="8964" width="53.75" style="120" customWidth="1"/>
    <col min="8965" max="8965" width="9.125" style="120"/>
    <col min="8966" max="8966" width="23.25" style="120" bestFit="1" customWidth="1"/>
    <col min="8967" max="9216" width="9.125" style="120"/>
    <col min="9217" max="9217" width="6.25" style="120" customWidth="1"/>
    <col min="9218" max="9218" width="41.125" style="120" customWidth="1"/>
    <col min="9219" max="9219" width="11.75" style="120" bestFit="1" customWidth="1"/>
    <col min="9220" max="9220" width="53.75" style="120" customWidth="1"/>
    <col min="9221" max="9221" width="9.125" style="120"/>
    <col min="9222" max="9222" width="23.25" style="120" bestFit="1" customWidth="1"/>
    <col min="9223" max="9472" width="9.125" style="120"/>
    <col min="9473" max="9473" width="6.25" style="120" customWidth="1"/>
    <col min="9474" max="9474" width="41.125" style="120" customWidth="1"/>
    <col min="9475" max="9475" width="11.75" style="120" bestFit="1" customWidth="1"/>
    <col min="9476" max="9476" width="53.75" style="120" customWidth="1"/>
    <col min="9477" max="9477" width="9.125" style="120"/>
    <col min="9478" max="9478" width="23.25" style="120" bestFit="1" customWidth="1"/>
    <col min="9479" max="9728" width="9.125" style="120"/>
    <col min="9729" max="9729" width="6.25" style="120" customWidth="1"/>
    <col min="9730" max="9730" width="41.125" style="120" customWidth="1"/>
    <col min="9731" max="9731" width="11.75" style="120" bestFit="1" customWidth="1"/>
    <col min="9732" max="9732" width="53.75" style="120" customWidth="1"/>
    <col min="9733" max="9733" width="9.125" style="120"/>
    <col min="9734" max="9734" width="23.25" style="120" bestFit="1" customWidth="1"/>
    <col min="9735" max="9984" width="9.125" style="120"/>
    <col min="9985" max="9985" width="6.25" style="120" customWidth="1"/>
    <col min="9986" max="9986" width="41.125" style="120" customWidth="1"/>
    <col min="9987" max="9987" width="11.75" style="120" bestFit="1" customWidth="1"/>
    <col min="9988" max="9988" width="53.75" style="120" customWidth="1"/>
    <col min="9989" max="9989" width="9.125" style="120"/>
    <col min="9990" max="9990" width="23.25" style="120" bestFit="1" customWidth="1"/>
    <col min="9991" max="10240" width="9.125" style="120"/>
    <col min="10241" max="10241" width="6.25" style="120" customWidth="1"/>
    <col min="10242" max="10242" width="41.125" style="120" customWidth="1"/>
    <col min="10243" max="10243" width="11.75" style="120" bestFit="1" customWidth="1"/>
    <col min="10244" max="10244" width="53.75" style="120" customWidth="1"/>
    <col min="10245" max="10245" width="9.125" style="120"/>
    <col min="10246" max="10246" width="23.25" style="120" bestFit="1" customWidth="1"/>
    <col min="10247" max="10496" width="9.125" style="120"/>
    <col min="10497" max="10497" width="6.25" style="120" customWidth="1"/>
    <col min="10498" max="10498" width="41.125" style="120" customWidth="1"/>
    <col min="10499" max="10499" width="11.75" style="120" bestFit="1" customWidth="1"/>
    <col min="10500" max="10500" width="53.75" style="120" customWidth="1"/>
    <col min="10501" max="10501" width="9.125" style="120"/>
    <col min="10502" max="10502" width="23.25" style="120" bestFit="1" customWidth="1"/>
    <col min="10503" max="10752" width="9.125" style="120"/>
    <col min="10753" max="10753" width="6.25" style="120" customWidth="1"/>
    <col min="10754" max="10754" width="41.125" style="120" customWidth="1"/>
    <col min="10755" max="10755" width="11.75" style="120" bestFit="1" customWidth="1"/>
    <col min="10756" max="10756" width="53.75" style="120" customWidth="1"/>
    <col min="10757" max="10757" width="9.125" style="120"/>
    <col min="10758" max="10758" width="23.25" style="120" bestFit="1" customWidth="1"/>
    <col min="10759" max="11008" width="9.125" style="120"/>
    <col min="11009" max="11009" width="6.25" style="120" customWidth="1"/>
    <col min="11010" max="11010" width="41.125" style="120" customWidth="1"/>
    <col min="11011" max="11011" width="11.75" style="120" bestFit="1" customWidth="1"/>
    <col min="11012" max="11012" width="53.75" style="120" customWidth="1"/>
    <col min="11013" max="11013" width="9.125" style="120"/>
    <col min="11014" max="11014" width="23.25" style="120" bestFit="1" customWidth="1"/>
    <col min="11015" max="11264" width="9.125" style="120"/>
    <col min="11265" max="11265" width="6.25" style="120" customWidth="1"/>
    <col min="11266" max="11266" width="41.125" style="120" customWidth="1"/>
    <col min="11267" max="11267" width="11.75" style="120" bestFit="1" customWidth="1"/>
    <col min="11268" max="11268" width="53.75" style="120" customWidth="1"/>
    <col min="11269" max="11269" width="9.125" style="120"/>
    <col min="11270" max="11270" width="23.25" style="120" bestFit="1" customWidth="1"/>
    <col min="11271" max="11520" width="9.125" style="120"/>
    <col min="11521" max="11521" width="6.25" style="120" customWidth="1"/>
    <col min="11522" max="11522" width="41.125" style="120" customWidth="1"/>
    <col min="11523" max="11523" width="11.75" style="120" bestFit="1" customWidth="1"/>
    <col min="11524" max="11524" width="53.75" style="120" customWidth="1"/>
    <col min="11525" max="11525" width="9.125" style="120"/>
    <col min="11526" max="11526" width="23.25" style="120" bestFit="1" customWidth="1"/>
    <col min="11527" max="11776" width="9.125" style="120"/>
    <col min="11777" max="11777" width="6.25" style="120" customWidth="1"/>
    <col min="11778" max="11778" width="41.125" style="120" customWidth="1"/>
    <col min="11779" max="11779" width="11.75" style="120" bestFit="1" customWidth="1"/>
    <col min="11780" max="11780" width="53.75" style="120" customWidth="1"/>
    <col min="11781" max="11781" width="9.125" style="120"/>
    <col min="11782" max="11782" width="23.25" style="120" bestFit="1" customWidth="1"/>
    <col min="11783" max="12032" width="9.125" style="120"/>
    <col min="12033" max="12033" width="6.25" style="120" customWidth="1"/>
    <col min="12034" max="12034" width="41.125" style="120" customWidth="1"/>
    <col min="12035" max="12035" width="11.75" style="120" bestFit="1" customWidth="1"/>
    <col min="12036" max="12036" width="53.75" style="120" customWidth="1"/>
    <col min="12037" max="12037" width="9.125" style="120"/>
    <col min="12038" max="12038" width="23.25" style="120" bestFit="1" customWidth="1"/>
    <col min="12039" max="12288" width="9.125" style="120"/>
    <col min="12289" max="12289" width="6.25" style="120" customWidth="1"/>
    <col min="12290" max="12290" width="41.125" style="120" customWidth="1"/>
    <col min="12291" max="12291" width="11.75" style="120" bestFit="1" customWidth="1"/>
    <col min="12292" max="12292" width="53.75" style="120" customWidth="1"/>
    <col min="12293" max="12293" width="9.125" style="120"/>
    <col min="12294" max="12294" width="23.25" style="120" bestFit="1" customWidth="1"/>
    <col min="12295" max="12544" width="9.125" style="120"/>
    <col min="12545" max="12545" width="6.25" style="120" customWidth="1"/>
    <col min="12546" max="12546" width="41.125" style="120" customWidth="1"/>
    <col min="12547" max="12547" width="11.75" style="120" bestFit="1" customWidth="1"/>
    <col min="12548" max="12548" width="53.75" style="120" customWidth="1"/>
    <col min="12549" max="12549" width="9.125" style="120"/>
    <col min="12550" max="12550" width="23.25" style="120" bestFit="1" customWidth="1"/>
    <col min="12551" max="12800" width="9.125" style="120"/>
    <col min="12801" max="12801" width="6.25" style="120" customWidth="1"/>
    <col min="12802" max="12802" width="41.125" style="120" customWidth="1"/>
    <col min="12803" max="12803" width="11.75" style="120" bestFit="1" customWidth="1"/>
    <col min="12804" max="12804" width="53.75" style="120" customWidth="1"/>
    <col min="12805" max="12805" width="9.125" style="120"/>
    <col min="12806" max="12806" width="23.25" style="120" bestFit="1" customWidth="1"/>
    <col min="12807" max="13056" width="9.125" style="120"/>
    <col min="13057" max="13057" width="6.25" style="120" customWidth="1"/>
    <col min="13058" max="13058" width="41.125" style="120" customWidth="1"/>
    <col min="13059" max="13059" width="11.75" style="120" bestFit="1" customWidth="1"/>
    <col min="13060" max="13060" width="53.75" style="120" customWidth="1"/>
    <col min="13061" max="13061" width="9.125" style="120"/>
    <col min="13062" max="13062" width="23.25" style="120" bestFit="1" customWidth="1"/>
    <col min="13063" max="13312" width="9.125" style="120"/>
    <col min="13313" max="13313" width="6.25" style="120" customWidth="1"/>
    <col min="13314" max="13314" width="41.125" style="120" customWidth="1"/>
    <col min="13315" max="13315" width="11.75" style="120" bestFit="1" customWidth="1"/>
    <col min="13316" max="13316" width="53.75" style="120" customWidth="1"/>
    <col min="13317" max="13317" width="9.125" style="120"/>
    <col min="13318" max="13318" width="23.25" style="120" bestFit="1" customWidth="1"/>
    <col min="13319" max="13568" width="9.125" style="120"/>
    <col min="13569" max="13569" width="6.25" style="120" customWidth="1"/>
    <col min="13570" max="13570" width="41.125" style="120" customWidth="1"/>
    <col min="13571" max="13571" width="11.75" style="120" bestFit="1" customWidth="1"/>
    <col min="13572" max="13572" width="53.75" style="120" customWidth="1"/>
    <col min="13573" max="13573" width="9.125" style="120"/>
    <col min="13574" max="13574" width="23.25" style="120" bestFit="1" customWidth="1"/>
    <col min="13575" max="13824" width="9.125" style="120"/>
    <col min="13825" max="13825" width="6.25" style="120" customWidth="1"/>
    <col min="13826" max="13826" width="41.125" style="120" customWidth="1"/>
    <col min="13827" max="13827" width="11.75" style="120" bestFit="1" customWidth="1"/>
    <col min="13828" max="13828" width="53.75" style="120" customWidth="1"/>
    <col min="13829" max="13829" width="9.125" style="120"/>
    <col min="13830" max="13830" width="23.25" style="120" bestFit="1" customWidth="1"/>
    <col min="13831" max="14080" width="9.125" style="120"/>
    <col min="14081" max="14081" width="6.25" style="120" customWidth="1"/>
    <col min="14082" max="14082" width="41.125" style="120" customWidth="1"/>
    <col min="14083" max="14083" width="11.75" style="120" bestFit="1" customWidth="1"/>
    <col min="14084" max="14084" width="53.75" style="120" customWidth="1"/>
    <col min="14085" max="14085" width="9.125" style="120"/>
    <col min="14086" max="14086" width="23.25" style="120" bestFit="1" customWidth="1"/>
    <col min="14087" max="14336" width="9.125" style="120"/>
    <col min="14337" max="14337" width="6.25" style="120" customWidth="1"/>
    <col min="14338" max="14338" width="41.125" style="120" customWidth="1"/>
    <col min="14339" max="14339" width="11.75" style="120" bestFit="1" customWidth="1"/>
    <col min="14340" max="14340" width="53.75" style="120" customWidth="1"/>
    <col min="14341" max="14341" width="9.125" style="120"/>
    <col min="14342" max="14342" width="23.25" style="120" bestFit="1" customWidth="1"/>
    <col min="14343" max="14592" width="9.125" style="120"/>
    <col min="14593" max="14593" width="6.25" style="120" customWidth="1"/>
    <col min="14594" max="14594" width="41.125" style="120" customWidth="1"/>
    <col min="14595" max="14595" width="11.75" style="120" bestFit="1" customWidth="1"/>
    <col min="14596" max="14596" width="53.75" style="120" customWidth="1"/>
    <col min="14597" max="14597" width="9.125" style="120"/>
    <col min="14598" max="14598" width="23.25" style="120" bestFit="1" customWidth="1"/>
    <col min="14599" max="14848" width="9.125" style="120"/>
    <col min="14849" max="14849" width="6.25" style="120" customWidth="1"/>
    <col min="14850" max="14850" width="41.125" style="120" customWidth="1"/>
    <col min="14851" max="14851" width="11.75" style="120" bestFit="1" customWidth="1"/>
    <col min="14852" max="14852" width="53.75" style="120" customWidth="1"/>
    <col min="14853" max="14853" width="9.125" style="120"/>
    <col min="14854" max="14854" width="23.25" style="120" bestFit="1" customWidth="1"/>
    <col min="14855" max="15104" width="9.125" style="120"/>
    <col min="15105" max="15105" width="6.25" style="120" customWidth="1"/>
    <col min="15106" max="15106" width="41.125" style="120" customWidth="1"/>
    <col min="15107" max="15107" width="11.75" style="120" bestFit="1" customWidth="1"/>
    <col min="15108" max="15108" width="53.75" style="120" customWidth="1"/>
    <col min="15109" max="15109" width="9.125" style="120"/>
    <col min="15110" max="15110" width="23.25" style="120" bestFit="1" customWidth="1"/>
    <col min="15111" max="15360" width="9.125" style="120"/>
    <col min="15361" max="15361" width="6.25" style="120" customWidth="1"/>
    <col min="15362" max="15362" width="41.125" style="120" customWidth="1"/>
    <col min="15363" max="15363" width="11.75" style="120" bestFit="1" customWidth="1"/>
    <col min="15364" max="15364" width="53.75" style="120" customWidth="1"/>
    <col min="15365" max="15365" width="9.125" style="120"/>
    <col min="15366" max="15366" width="23.25" style="120" bestFit="1" customWidth="1"/>
    <col min="15367" max="15616" width="9.125" style="120"/>
    <col min="15617" max="15617" width="6.25" style="120" customWidth="1"/>
    <col min="15618" max="15618" width="41.125" style="120" customWidth="1"/>
    <col min="15619" max="15619" width="11.75" style="120" bestFit="1" customWidth="1"/>
    <col min="15620" max="15620" width="53.75" style="120" customWidth="1"/>
    <col min="15621" max="15621" width="9.125" style="120"/>
    <col min="15622" max="15622" width="23.25" style="120" bestFit="1" customWidth="1"/>
    <col min="15623" max="15872" width="9.125" style="120"/>
    <col min="15873" max="15873" width="6.25" style="120" customWidth="1"/>
    <col min="15874" max="15874" width="41.125" style="120" customWidth="1"/>
    <col min="15875" max="15875" width="11.75" style="120" bestFit="1" customWidth="1"/>
    <col min="15876" max="15876" width="53.75" style="120" customWidth="1"/>
    <col min="15877" max="15877" width="9.125" style="120"/>
    <col min="15878" max="15878" width="23.25" style="120" bestFit="1" customWidth="1"/>
    <col min="15879" max="16128" width="9.125" style="120"/>
    <col min="16129" max="16129" width="6.25" style="120" customWidth="1"/>
    <col min="16130" max="16130" width="41.125" style="120" customWidth="1"/>
    <col min="16131" max="16131" width="11.75" style="120" bestFit="1" customWidth="1"/>
    <col min="16132" max="16132" width="53.75" style="120" customWidth="1"/>
    <col min="16133" max="16133" width="9.125" style="120"/>
    <col min="16134" max="16134" width="23.25" style="120" bestFit="1" customWidth="1"/>
    <col min="16135" max="16384" width="9.125" style="120"/>
  </cols>
  <sheetData>
    <row r="1" spans="1:8" s="118" customFormat="1" x14ac:dyDescent="0.35">
      <c r="A1" s="117"/>
      <c r="B1" s="117"/>
    </row>
    <row r="2" spans="1:8" s="118" customFormat="1" x14ac:dyDescent="0.35">
      <c r="B2" s="121" t="s">
        <v>294</v>
      </c>
      <c r="E2" s="340"/>
      <c r="F2" s="340"/>
      <c r="G2" s="340"/>
    </row>
    <row r="3" spans="1:8" s="118" customFormat="1" x14ac:dyDescent="0.35">
      <c r="B3" s="557"/>
      <c r="E3" s="340"/>
      <c r="F3" s="340"/>
      <c r="G3" s="340"/>
    </row>
    <row r="4" spans="1:8" s="118" customFormat="1" x14ac:dyDescent="0.35">
      <c r="B4" s="558" t="s">
        <v>7</v>
      </c>
      <c r="C4" s="572" t="s">
        <v>8</v>
      </c>
      <c r="D4" s="572"/>
    </row>
    <row r="5" spans="1:8" s="118" customFormat="1" x14ac:dyDescent="0.35">
      <c r="A5" s="117"/>
      <c r="B5" s="294" t="str">
        <f>IF(ISBLANK(Directions!C6), "Owner", Directions!C6)</f>
        <v>Owner</v>
      </c>
      <c r="C5" s="573" t="str">
        <f>IF(ISBLANK(Directions!D6), "Company 1", Directions!D6)</f>
        <v>Company 1</v>
      </c>
      <c r="D5" s="573"/>
      <c r="E5" s="126"/>
      <c r="F5" s="126"/>
      <c r="G5" s="126"/>
      <c r="H5" s="126"/>
    </row>
    <row r="6" spans="1:8" s="118" customFormat="1" x14ac:dyDescent="0.35">
      <c r="A6" s="183"/>
      <c r="B6" s="183"/>
      <c r="C6" s="127"/>
      <c r="D6" s="127"/>
      <c r="E6" s="126"/>
      <c r="F6" s="126"/>
      <c r="G6" s="126"/>
      <c r="H6" s="126"/>
    </row>
    <row r="7" spans="1:8" ht="16.5" thickBot="1" x14ac:dyDescent="0.4">
      <c r="B7" s="129" t="s">
        <v>295</v>
      </c>
      <c r="C7" s="129" t="s">
        <v>296</v>
      </c>
      <c r="D7" s="129" t="s">
        <v>297</v>
      </c>
      <c r="E7" s="574"/>
      <c r="F7" s="574"/>
      <c r="G7" s="127"/>
      <c r="H7" s="574"/>
    </row>
    <row r="8" spans="1:8" ht="16.5" thickTop="1" x14ac:dyDescent="0.35">
      <c r="A8" s="183"/>
      <c r="B8" s="131" t="s">
        <v>298</v>
      </c>
      <c r="C8" s="575">
        <f>IF('1-StartingPoint'!D42=0,0,'1-StartingPoint'!D34/'1-StartingPoint'!C31)</f>
        <v>0</v>
      </c>
      <c r="D8" s="576" t="str">
        <f>IF(C8&gt;0.2,"Owner's injection is reasonable","Owner's injection might be too low in relation to the amount of money needed")</f>
        <v>Owner's injection might be too low in relation to the amount of money needed</v>
      </c>
      <c r="E8" s="577"/>
      <c r="F8" s="577"/>
      <c r="G8" s="127"/>
      <c r="H8" s="127"/>
    </row>
    <row r="9" spans="1:8" x14ac:dyDescent="0.35">
      <c r="A9" s="183"/>
      <c r="B9" s="138" t="s">
        <v>299</v>
      </c>
      <c r="C9" s="578">
        <f>IF('1-StartingPoint'!C31=0,0,'1-StartingPoint'!C29/'1-StartingPoint'!C31)</f>
        <v>0</v>
      </c>
      <c r="D9" s="579" t="str">
        <f>IF(C9&lt;0.2,"Cash request seems reasonable with respect to total request","Cash request exceeds 20% which might be too high")</f>
        <v>Cash request seems reasonable with respect to total request</v>
      </c>
      <c r="E9" s="577"/>
      <c r="F9" s="577"/>
      <c r="G9" s="127"/>
      <c r="H9" s="127"/>
    </row>
    <row r="10" spans="1:8" s="118" customFormat="1" x14ac:dyDescent="0.35">
      <c r="A10" s="183"/>
      <c r="B10" s="145"/>
      <c r="C10" s="580"/>
      <c r="D10" s="579"/>
      <c r="E10" s="577"/>
      <c r="F10" s="577"/>
      <c r="G10" s="127"/>
      <c r="H10" s="127"/>
    </row>
    <row r="11" spans="1:8" ht="16.5" thickBot="1" x14ac:dyDescent="0.4">
      <c r="A11" s="183"/>
      <c r="B11" s="129" t="s">
        <v>300</v>
      </c>
      <c r="C11" s="129" t="s">
        <v>296</v>
      </c>
      <c r="D11" s="129" t="s">
        <v>297</v>
      </c>
      <c r="E11" s="577"/>
      <c r="F11" s="577"/>
      <c r="G11" s="127"/>
      <c r="H11" s="127"/>
    </row>
    <row r="12" spans="1:8" ht="16.5" thickTop="1" x14ac:dyDescent="0.35">
      <c r="A12" s="183"/>
      <c r="B12" s="131" t="s">
        <v>301</v>
      </c>
      <c r="C12" s="575">
        <f>'1-StartingPoint'!E37</f>
        <v>0.09</v>
      </c>
      <c r="D12" s="581" t="str">
        <f>IF(C12&lt;0.06,"Interest rate may be too low for the type of loan requested","Interest rate seems reasonable")</f>
        <v>Interest rate seems reasonable</v>
      </c>
      <c r="E12" s="127"/>
      <c r="F12" s="127"/>
      <c r="G12" s="127"/>
      <c r="H12" s="127"/>
    </row>
    <row r="13" spans="1:8" x14ac:dyDescent="0.35">
      <c r="A13" s="183"/>
      <c r="B13" s="138" t="s">
        <v>302</v>
      </c>
      <c r="C13" s="582">
        <f>'1-StartingPoint'!F37</f>
        <v>84</v>
      </c>
      <c r="D13" s="583" t="str">
        <f>IF(C13&gt;120,"Loan term may be too high for this type of loan","Loan term seems within range for this type of loan")</f>
        <v>Loan term seems within range for this type of loan</v>
      </c>
      <c r="E13" s="571"/>
      <c r="F13" s="571"/>
      <c r="G13" s="127"/>
      <c r="H13" s="127"/>
    </row>
    <row r="14" spans="1:8" x14ac:dyDescent="0.35">
      <c r="A14" s="183"/>
      <c r="B14" s="138" t="s">
        <v>303</v>
      </c>
      <c r="C14" s="578">
        <f>'1-StartingPoint'!E38</f>
        <v>0.09</v>
      </c>
      <c r="D14" s="584" t="str">
        <f>IF(C14&lt;0.06,"Interest rate may be too low for type of loan requested","Interest rate seems reasonable")</f>
        <v>Interest rate seems reasonable</v>
      </c>
      <c r="E14" s="571"/>
      <c r="F14" s="571"/>
      <c r="G14" s="127"/>
      <c r="H14" s="127"/>
    </row>
    <row r="15" spans="1:8" x14ac:dyDescent="0.35">
      <c r="A15" s="183"/>
      <c r="B15" s="138" t="s">
        <v>304</v>
      </c>
      <c r="C15" s="585">
        <f>'1-StartingPoint'!F38</f>
        <v>240</v>
      </c>
      <c r="D15" s="586" t="str">
        <f>IF(C15&gt;240,"Loan term may be too high for this type of loan","Loan term seems within range for this type of loan")</f>
        <v>Loan term seems within range for this type of loan</v>
      </c>
      <c r="E15" s="571"/>
      <c r="F15" s="571"/>
      <c r="G15" s="127"/>
      <c r="H15" s="127"/>
    </row>
    <row r="16" spans="1:8" x14ac:dyDescent="0.35">
      <c r="A16" s="183"/>
      <c r="B16" s="138" t="s">
        <v>305</v>
      </c>
      <c r="C16" s="580">
        <f>FinancialRatios!C13</f>
        <v>0</v>
      </c>
      <c r="D16" s="584" t="str">
        <f>IF(C16&gt;1,"Calculated loan payments relative to operating proft may be too high","Calculated loan payments relative to operating profit seem reasonable")</f>
        <v>Calculated loan payments relative to operating profit seem reasonable</v>
      </c>
      <c r="E16" s="571"/>
      <c r="F16" s="571"/>
      <c r="G16" s="127"/>
      <c r="H16" s="127"/>
    </row>
    <row r="17" spans="1:8" s="118" customFormat="1" x14ac:dyDescent="0.35">
      <c r="A17" s="183"/>
      <c r="B17" s="145"/>
      <c r="C17" s="578"/>
      <c r="D17" s="584"/>
      <c r="E17" s="571"/>
      <c r="F17" s="571"/>
      <c r="G17" s="127"/>
      <c r="H17" s="127"/>
    </row>
    <row r="18" spans="1:8" ht="16.5" thickBot="1" x14ac:dyDescent="0.4">
      <c r="A18" s="183"/>
      <c r="B18" s="129" t="s">
        <v>306</v>
      </c>
      <c r="C18" s="129" t="s">
        <v>296</v>
      </c>
      <c r="D18" s="129" t="s">
        <v>297</v>
      </c>
      <c r="E18" s="571"/>
      <c r="F18" s="571"/>
      <c r="G18" s="127"/>
      <c r="H18" s="127"/>
    </row>
    <row r="19" spans="1:8" ht="16.5" thickTop="1" x14ac:dyDescent="0.35">
      <c r="A19" s="183"/>
      <c r="B19" s="131" t="s">
        <v>307</v>
      </c>
      <c r="C19" s="575">
        <f>BreakevenAnalysis!C11</f>
        <v>0</v>
      </c>
      <c r="D19" s="587" t="str">
        <f>IF(C19&lt;0.2,"Gross margin percentage seems very low","Gross margin percentage seems reasonable")</f>
        <v>Gross margin percentage seems very low</v>
      </c>
      <c r="E19" s="571"/>
      <c r="F19" s="571"/>
      <c r="G19" s="127"/>
      <c r="H19" s="127"/>
    </row>
    <row r="20" spans="1:8" x14ac:dyDescent="0.35">
      <c r="A20" s="183"/>
      <c r="B20" s="138" t="s">
        <v>308</v>
      </c>
      <c r="C20" s="588">
        <f>'2a-PayrollYear1'!R8</f>
        <v>0</v>
      </c>
      <c r="D20" s="584" t="str">
        <f>IF(C20&gt;0,"An owner's compensation amount has been established","An owner's compensation amount has not been established")</f>
        <v>An owner's compensation amount has not been established</v>
      </c>
      <c r="E20" s="571"/>
      <c r="F20" s="571"/>
      <c r="G20" s="127"/>
      <c r="H20" s="127"/>
    </row>
    <row r="21" spans="1:8" x14ac:dyDescent="0.35">
      <c r="A21" s="183"/>
      <c r="B21" s="138" t="s">
        <v>309</v>
      </c>
      <c r="C21" s="578">
        <f>IF(NetIncomeY1=0,0,'2a-PayrollYear1'!R8/NetIncomeY1)</f>
        <v>0</v>
      </c>
      <c r="D21" s="584" t="str">
        <f>IF(C21&gt;1,"Owner's compensation may be too high relative to profitability of business","Owner's compensation seems reasonable")</f>
        <v>Owner's compensation seems reasonable</v>
      </c>
      <c r="E21" s="571"/>
      <c r="F21" s="571"/>
      <c r="G21" s="127"/>
      <c r="H21" s="127"/>
    </row>
    <row r="22" spans="1:8" x14ac:dyDescent="0.35">
      <c r="A22" s="183"/>
      <c r="B22" s="138" t="s">
        <v>310</v>
      </c>
      <c r="C22" s="578">
        <f>IF('7b-IncomeStatementYrs1-3'!C14=0,0,'7b-IncomeStatementYrs1-3'!C26/'7b-IncomeStatementYrs1-3'!C14)</f>
        <v>0</v>
      </c>
      <c r="D22" s="584" t="str">
        <f>IF(C22&lt;0.02,"Advertising as a percent of sales may be too low","Advertising as a percent of sales seems reasonable")</f>
        <v>Advertising as a percent of sales may be too low</v>
      </c>
      <c r="E22" s="571"/>
      <c r="F22" s="571"/>
      <c r="G22" s="127"/>
      <c r="H22" s="127"/>
    </row>
    <row r="23" spans="1:8" x14ac:dyDescent="0.35">
      <c r="A23" s="183"/>
      <c r="B23" s="138" t="s">
        <v>311</v>
      </c>
      <c r="C23" s="588">
        <f>NetIncomeY1</f>
        <v>0</v>
      </c>
      <c r="D23" s="584" t="str">
        <f>IF(C23&lt;=0,"The business is not showing a profit","The business is showing a profit")</f>
        <v>The business is not showing a profit</v>
      </c>
      <c r="E23" s="571"/>
      <c r="F23" s="571"/>
      <c r="G23" s="127"/>
      <c r="H23" s="127"/>
    </row>
    <row r="24" spans="1:8" s="370" customFormat="1" x14ac:dyDescent="0.35">
      <c r="A24" s="183"/>
      <c r="B24" s="138" t="s">
        <v>312</v>
      </c>
      <c r="C24" s="578">
        <f>IF('7b-IncomeStatementYrs1-3'!C14=0,0,NetIncomeY1/'7b-IncomeStatementYrs1-3'!C14)</f>
        <v>0</v>
      </c>
      <c r="D24" s="584" t="str">
        <f>IF(C24&gt;0.2,"The projection may be too aggressive in stating profitability","The projection does not seem highly unreasonable")</f>
        <v>The projection does not seem highly unreasonable</v>
      </c>
      <c r="E24" s="571"/>
      <c r="F24" s="571"/>
      <c r="G24" s="127"/>
      <c r="H24" s="127"/>
    </row>
    <row r="25" spans="1:8" s="118" customFormat="1" x14ac:dyDescent="0.35">
      <c r="A25" s="183"/>
      <c r="B25" s="145"/>
      <c r="C25" s="395"/>
      <c r="D25" s="584"/>
      <c r="E25" s="571"/>
      <c r="F25" s="571"/>
      <c r="G25" s="127"/>
      <c r="H25" s="127"/>
    </row>
    <row r="26" spans="1:8" ht="16.5" thickBot="1" x14ac:dyDescent="0.4">
      <c r="A26" s="183"/>
      <c r="B26" s="129" t="s">
        <v>313</v>
      </c>
      <c r="C26" s="129" t="s">
        <v>296</v>
      </c>
      <c r="D26" s="129" t="s">
        <v>297</v>
      </c>
      <c r="E26" s="571"/>
      <c r="F26" s="571"/>
      <c r="G26" s="127"/>
      <c r="H26" s="127"/>
    </row>
    <row r="27" spans="1:8" ht="16.5" thickTop="1" x14ac:dyDescent="0.35">
      <c r="A27" s="183"/>
      <c r="B27" s="131" t="s">
        <v>314</v>
      </c>
      <c r="C27" s="589">
        <f>'6a-CashFlowYear1'!O32</f>
        <v>0</v>
      </c>
      <c r="D27" s="587" t="str">
        <f>IF(C27&lt;0,"The financial projection does not provide the desired level of cash flow","The financial projection provides the desired level of cash flow")</f>
        <v>The financial projection provides the desired level of cash flow</v>
      </c>
      <c r="E27" s="571"/>
      <c r="F27" s="571"/>
      <c r="G27" s="127"/>
      <c r="H27" s="127"/>
    </row>
    <row r="28" spans="1:8" x14ac:dyDescent="0.35">
      <c r="A28" s="183"/>
      <c r="B28" s="138" t="s">
        <v>315</v>
      </c>
      <c r="C28" s="397">
        <f>+C27</f>
        <v>0</v>
      </c>
      <c r="D28" s="584" t="str">
        <f>IF(C28&gt;0,"The business will need at least this level of a line of credit","The business doesn't seem to require a line of credit")</f>
        <v>The business doesn't seem to require a line of credit</v>
      </c>
      <c r="E28" s="571"/>
      <c r="F28" s="571"/>
      <c r="G28" s="127"/>
      <c r="H28" s="127"/>
    </row>
    <row r="29" spans="1:8" s="370" customFormat="1" x14ac:dyDescent="0.35">
      <c r="A29" s="183"/>
      <c r="B29" s="138" t="s">
        <v>316</v>
      </c>
      <c r="C29" s="578">
        <f>IF('7b-IncomeStatementYrs1-3'!C14=0,0,'8-BalanceSheet'!D10/'7b-IncomeStatementYrs1-3'!C14)</f>
        <v>0</v>
      </c>
      <c r="D29" s="584" t="str">
        <f>IF(C29&gt;0.3,"Accounts receivable amounts seem high","Accounts receivable amount as a percent of sales seems reasonable")</f>
        <v>Accounts receivable amount as a percent of sales seems reasonable</v>
      </c>
      <c r="E29" s="571"/>
      <c r="F29" s="571"/>
      <c r="G29" s="127"/>
      <c r="H29" s="127"/>
    </row>
    <row r="30" spans="1:8" s="118" customFormat="1" x14ac:dyDescent="0.35">
      <c r="A30" s="183"/>
      <c r="B30" s="145"/>
      <c r="C30" s="145"/>
      <c r="D30" s="584"/>
      <c r="E30" s="571"/>
      <c r="F30" s="571"/>
      <c r="G30" s="127"/>
      <c r="H30" s="127"/>
    </row>
    <row r="31" spans="1:8" ht="16.5" thickBot="1" x14ac:dyDescent="0.4">
      <c r="A31" s="183"/>
      <c r="B31" s="129" t="s">
        <v>317</v>
      </c>
      <c r="C31" s="129" t="s">
        <v>296</v>
      </c>
      <c r="D31" s="129" t="s">
        <v>297</v>
      </c>
      <c r="E31" s="571"/>
      <c r="F31" s="571"/>
      <c r="G31" s="127"/>
      <c r="H31" s="127"/>
    </row>
    <row r="32" spans="1:8" ht="16.5" thickTop="1" x14ac:dyDescent="0.35">
      <c r="A32" s="183"/>
      <c r="B32" s="131" t="s">
        <v>318</v>
      </c>
      <c r="C32" s="590">
        <f>'8-BalanceSheet'!D45</f>
        <v>0</v>
      </c>
      <c r="D32" s="587" t="str">
        <f>IF(C32&lt;&gt;0,"The balance sheet is not in balance","The balance sheet does balance")</f>
        <v>The balance sheet does balance</v>
      </c>
      <c r="E32" s="571"/>
      <c r="F32" s="571"/>
      <c r="G32" s="127"/>
      <c r="H32" s="127"/>
    </row>
    <row r="33" spans="1:8" s="370" customFormat="1" x14ac:dyDescent="0.35">
      <c r="A33" s="183"/>
      <c r="B33" s="138" t="s">
        <v>277</v>
      </c>
      <c r="C33" s="578">
        <f>FinancialRatios!C12</f>
        <v>0</v>
      </c>
      <c r="D33" s="584" t="str">
        <f>IF(C33&lt;=2, "Very comfortable", IF(C33&lt;=3, "Reasonable", IF(C33&lt;=4, "Getting debt heavy", "Debt heavy")))</f>
        <v>Very comfortable</v>
      </c>
      <c r="E33" s="571"/>
      <c r="F33" s="571"/>
      <c r="G33" s="127"/>
      <c r="H33" s="127"/>
    </row>
    <row r="34" spans="1:8" s="118" customFormat="1" x14ac:dyDescent="0.35">
      <c r="A34" s="183"/>
      <c r="B34" s="145"/>
      <c r="C34" s="395"/>
      <c r="D34" s="584"/>
      <c r="E34" s="571"/>
      <c r="F34" s="571"/>
      <c r="G34" s="127"/>
      <c r="H34" s="127"/>
    </row>
    <row r="35" spans="1:8" ht="16.5" thickBot="1" x14ac:dyDescent="0.4">
      <c r="A35" s="183"/>
      <c r="B35" s="129" t="s">
        <v>319</v>
      </c>
      <c r="C35" s="129" t="s">
        <v>296</v>
      </c>
      <c r="D35" s="129" t="s">
        <v>297</v>
      </c>
      <c r="E35" s="571"/>
      <c r="F35" s="571"/>
      <c r="G35" s="127"/>
      <c r="H35" s="127"/>
    </row>
    <row r="36" spans="1:8" ht="16.5" thickTop="1" x14ac:dyDescent="0.35">
      <c r="A36" s="183"/>
      <c r="B36" s="131" t="s">
        <v>320</v>
      </c>
      <c r="C36" s="590">
        <f>'7b-IncomeStatementYrs1-3'!C14-BreakevenAnalysis!C19</f>
        <v>0</v>
      </c>
      <c r="D36" s="587" t="str">
        <f>IF(C36&gt;0,"The sales projection exceeds the projected break-even sales level","The sales projection is less than the break-even amount")</f>
        <v>The sales projection is less than the break-even amount</v>
      </c>
      <c r="E36" s="571"/>
      <c r="F36" s="571"/>
      <c r="G36" s="127"/>
      <c r="H36" s="127"/>
    </row>
    <row r="37" spans="1:8" s="118" customFormat="1" x14ac:dyDescent="0.35">
      <c r="A37" s="183"/>
      <c r="B37" s="183"/>
      <c r="C37" s="571"/>
      <c r="D37" s="571"/>
      <c r="E37" s="571"/>
      <c r="F37" s="571"/>
      <c r="G37" s="127"/>
      <c r="H37" s="127"/>
    </row>
    <row r="38" spans="1:8" x14ac:dyDescent="0.35">
      <c r="A38" s="183"/>
      <c r="B38" s="183"/>
      <c r="C38" s="571"/>
      <c r="D38" s="571"/>
      <c r="E38" s="571"/>
      <c r="F38" s="571"/>
      <c r="G38" s="127"/>
      <c r="H38" s="127"/>
    </row>
    <row r="39" spans="1:8" x14ac:dyDescent="0.35">
      <c r="A39" s="183"/>
      <c r="B39" s="183"/>
      <c r="C39" s="571"/>
      <c r="D39" s="571"/>
      <c r="E39" s="571"/>
      <c r="F39" s="571"/>
      <c r="G39" s="127"/>
      <c r="H39" s="127"/>
    </row>
    <row r="40" spans="1:8" x14ac:dyDescent="0.35">
      <c r="B40" s="183"/>
      <c r="C40" s="571"/>
      <c r="D40" s="571"/>
    </row>
  </sheetData>
  <sheetProtection formatColumns="0" formatRows="0"/>
  <mergeCells count="2">
    <mergeCell ref="C4:D4"/>
    <mergeCell ref="C5:D5"/>
  </mergeCells>
  <printOptions horizontalCentered="1" verticalCentered="1"/>
  <pageMargins left="0.25" right="0.25" top="0.75" bottom="0.75" header="0.3" footer="0.3"/>
  <pageSetup orientation="landscape" r:id="rId1"/>
  <headerFooter scaleWithDoc="0">
    <oddHeader>&amp;C&amp;"Gill Sans MT,Regular"&amp;12Diagnostic Tools - Year 1</oddHeader>
    <oddFooter>&amp;L&amp;"Gill Sans MT,Regular"&amp;12&amp;F&amp;C&amp;"Gill Sans MT,Regular"&amp;12&amp;A&amp;R&amp;"Gill Sans MT,Regular"&amp;12&amp;D &amp;T</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BC4C7"/>
    <pageSetUpPr fitToPage="1"/>
  </sheetPr>
  <dimension ref="A1:I46"/>
  <sheetViews>
    <sheetView zoomScaleNormal="100" zoomScalePageLayoutView="80" workbookViewId="0">
      <selection activeCell="J32" sqref="J32"/>
    </sheetView>
  </sheetViews>
  <sheetFormatPr defaultColWidth="8.875" defaultRowHeight="15.75" x14ac:dyDescent="0.35"/>
  <cols>
    <col min="1" max="1" width="9.125" style="425" customWidth="1"/>
    <col min="2" max="2" width="66.125" style="431" bestFit="1" customWidth="1"/>
    <col min="3" max="3" width="30.375" style="431" bestFit="1" customWidth="1"/>
    <col min="4" max="6" width="9.125" style="425" customWidth="1"/>
    <col min="7" max="9" width="9.125" style="592" customWidth="1"/>
    <col min="10" max="256" width="8.875" style="431"/>
    <col min="257" max="257" width="9.125" style="431" customWidth="1"/>
    <col min="258" max="258" width="66.125" style="431" bestFit="1" customWidth="1"/>
    <col min="259" max="259" width="30.375" style="431" bestFit="1" customWidth="1"/>
    <col min="260" max="265" width="9.125" style="431" customWidth="1"/>
    <col min="266" max="512" width="8.875" style="431"/>
    <col min="513" max="513" width="9.125" style="431" customWidth="1"/>
    <col min="514" max="514" width="66.125" style="431" bestFit="1" customWidth="1"/>
    <col min="515" max="515" width="30.375" style="431" bestFit="1" customWidth="1"/>
    <col min="516" max="521" width="9.125" style="431" customWidth="1"/>
    <col min="522" max="768" width="8.875" style="431"/>
    <col min="769" max="769" width="9.125" style="431" customWidth="1"/>
    <col min="770" max="770" width="66.125" style="431" bestFit="1" customWidth="1"/>
    <col min="771" max="771" width="30.375" style="431" bestFit="1" customWidth="1"/>
    <col min="772" max="777" width="9.125" style="431" customWidth="1"/>
    <col min="778" max="1024" width="8.875" style="431"/>
    <col min="1025" max="1025" width="9.125" style="431" customWidth="1"/>
    <col min="1026" max="1026" width="66.125" style="431" bestFit="1" customWidth="1"/>
    <col min="1027" max="1027" width="30.375" style="431" bestFit="1" customWidth="1"/>
    <col min="1028" max="1033" width="9.125" style="431" customWidth="1"/>
    <col min="1034" max="1280" width="8.875" style="431"/>
    <col min="1281" max="1281" width="9.125" style="431" customWidth="1"/>
    <col min="1282" max="1282" width="66.125" style="431" bestFit="1" customWidth="1"/>
    <col min="1283" max="1283" width="30.375" style="431" bestFit="1" customWidth="1"/>
    <col min="1284" max="1289" width="9.125" style="431" customWidth="1"/>
    <col min="1290" max="1536" width="8.875" style="431"/>
    <col min="1537" max="1537" width="9.125" style="431" customWidth="1"/>
    <col min="1538" max="1538" width="66.125" style="431" bestFit="1" customWidth="1"/>
    <col min="1539" max="1539" width="30.375" style="431" bestFit="1" customWidth="1"/>
    <col min="1540" max="1545" width="9.125" style="431" customWidth="1"/>
    <col min="1546" max="1792" width="8.875" style="431"/>
    <col min="1793" max="1793" width="9.125" style="431" customWidth="1"/>
    <col min="1794" max="1794" width="66.125" style="431" bestFit="1" customWidth="1"/>
    <col min="1795" max="1795" width="30.375" style="431" bestFit="1" customWidth="1"/>
    <col min="1796" max="1801" width="9.125" style="431" customWidth="1"/>
    <col min="1802" max="2048" width="8.875" style="431"/>
    <col min="2049" max="2049" width="9.125" style="431" customWidth="1"/>
    <col min="2050" max="2050" width="66.125" style="431" bestFit="1" customWidth="1"/>
    <col min="2051" max="2051" width="30.375" style="431" bestFit="1" customWidth="1"/>
    <col min="2052" max="2057" width="9.125" style="431" customWidth="1"/>
    <col min="2058" max="2304" width="8.875" style="431"/>
    <col min="2305" max="2305" width="9.125" style="431" customWidth="1"/>
    <col min="2306" max="2306" width="66.125" style="431" bestFit="1" customWidth="1"/>
    <col min="2307" max="2307" width="30.375" style="431" bestFit="1" customWidth="1"/>
    <col min="2308" max="2313" width="9.125" style="431" customWidth="1"/>
    <col min="2314" max="2560" width="8.875" style="431"/>
    <col min="2561" max="2561" width="9.125" style="431" customWidth="1"/>
    <col min="2562" max="2562" width="66.125" style="431" bestFit="1" customWidth="1"/>
    <col min="2563" max="2563" width="30.375" style="431" bestFit="1" customWidth="1"/>
    <col min="2564" max="2569" width="9.125" style="431" customWidth="1"/>
    <col min="2570" max="2816" width="8.875" style="431"/>
    <col min="2817" max="2817" width="9.125" style="431" customWidth="1"/>
    <col min="2818" max="2818" width="66.125" style="431" bestFit="1" customWidth="1"/>
    <col min="2819" max="2819" width="30.375" style="431" bestFit="1" customWidth="1"/>
    <col min="2820" max="2825" width="9.125" style="431" customWidth="1"/>
    <col min="2826" max="3072" width="8.875" style="431"/>
    <col min="3073" max="3073" width="9.125" style="431" customWidth="1"/>
    <col min="3074" max="3074" width="66.125" style="431" bestFit="1" customWidth="1"/>
    <col min="3075" max="3075" width="30.375" style="431" bestFit="1" customWidth="1"/>
    <col min="3076" max="3081" width="9.125" style="431" customWidth="1"/>
    <col min="3082" max="3328" width="8.875" style="431"/>
    <col min="3329" max="3329" width="9.125" style="431" customWidth="1"/>
    <col min="3330" max="3330" width="66.125" style="431" bestFit="1" customWidth="1"/>
    <col min="3331" max="3331" width="30.375" style="431" bestFit="1" customWidth="1"/>
    <col min="3332" max="3337" width="9.125" style="431" customWidth="1"/>
    <col min="3338" max="3584" width="8.875" style="431"/>
    <col min="3585" max="3585" width="9.125" style="431" customWidth="1"/>
    <col min="3586" max="3586" width="66.125" style="431" bestFit="1" customWidth="1"/>
    <col min="3587" max="3587" width="30.375" style="431" bestFit="1" customWidth="1"/>
    <col min="3588" max="3593" width="9.125" style="431" customWidth="1"/>
    <col min="3594" max="3840" width="8.875" style="431"/>
    <col min="3841" max="3841" width="9.125" style="431" customWidth="1"/>
    <col min="3842" max="3842" width="66.125" style="431" bestFit="1" customWidth="1"/>
    <col min="3843" max="3843" width="30.375" style="431" bestFit="1" customWidth="1"/>
    <col min="3844" max="3849" width="9.125" style="431" customWidth="1"/>
    <col min="3850" max="4096" width="8.875" style="431"/>
    <col min="4097" max="4097" width="9.125" style="431" customWidth="1"/>
    <col min="4098" max="4098" width="66.125" style="431" bestFit="1" customWidth="1"/>
    <col min="4099" max="4099" width="30.375" style="431" bestFit="1" customWidth="1"/>
    <col min="4100" max="4105" width="9.125" style="431" customWidth="1"/>
    <col min="4106" max="4352" width="8.875" style="431"/>
    <col min="4353" max="4353" width="9.125" style="431" customWidth="1"/>
    <col min="4354" max="4354" width="66.125" style="431" bestFit="1" customWidth="1"/>
    <col min="4355" max="4355" width="30.375" style="431" bestFit="1" customWidth="1"/>
    <col min="4356" max="4361" width="9.125" style="431" customWidth="1"/>
    <col min="4362" max="4608" width="8.875" style="431"/>
    <col min="4609" max="4609" width="9.125" style="431" customWidth="1"/>
    <col min="4610" max="4610" width="66.125" style="431" bestFit="1" customWidth="1"/>
    <col min="4611" max="4611" width="30.375" style="431" bestFit="1" customWidth="1"/>
    <col min="4612" max="4617" width="9.125" style="431" customWidth="1"/>
    <col min="4618" max="4864" width="8.875" style="431"/>
    <col min="4865" max="4865" width="9.125" style="431" customWidth="1"/>
    <col min="4866" max="4866" width="66.125" style="431" bestFit="1" customWidth="1"/>
    <col min="4867" max="4867" width="30.375" style="431" bestFit="1" customWidth="1"/>
    <col min="4868" max="4873" width="9.125" style="431" customWidth="1"/>
    <col min="4874" max="5120" width="8.875" style="431"/>
    <col min="5121" max="5121" width="9.125" style="431" customWidth="1"/>
    <col min="5122" max="5122" width="66.125" style="431" bestFit="1" customWidth="1"/>
    <col min="5123" max="5123" width="30.375" style="431" bestFit="1" customWidth="1"/>
    <col min="5124" max="5129" width="9.125" style="431" customWidth="1"/>
    <col min="5130" max="5376" width="8.875" style="431"/>
    <col min="5377" max="5377" width="9.125" style="431" customWidth="1"/>
    <col min="5378" max="5378" width="66.125" style="431" bestFit="1" customWidth="1"/>
    <col min="5379" max="5379" width="30.375" style="431" bestFit="1" customWidth="1"/>
    <col min="5380" max="5385" width="9.125" style="431" customWidth="1"/>
    <col min="5386" max="5632" width="8.875" style="431"/>
    <col min="5633" max="5633" width="9.125" style="431" customWidth="1"/>
    <col min="5634" max="5634" width="66.125" style="431" bestFit="1" customWidth="1"/>
    <col min="5635" max="5635" width="30.375" style="431" bestFit="1" customWidth="1"/>
    <col min="5636" max="5641" width="9.125" style="431" customWidth="1"/>
    <col min="5642" max="5888" width="8.875" style="431"/>
    <col min="5889" max="5889" width="9.125" style="431" customWidth="1"/>
    <col min="5890" max="5890" width="66.125" style="431" bestFit="1" customWidth="1"/>
    <col min="5891" max="5891" width="30.375" style="431" bestFit="1" customWidth="1"/>
    <col min="5892" max="5897" width="9.125" style="431" customWidth="1"/>
    <col min="5898" max="6144" width="8.875" style="431"/>
    <col min="6145" max="6145" width="9.125" style="431" customWidth="1"/>
    <col min="6146" max="6146" width="66.125" style="431" bestFit="1" customWidth="1"/>
    <col min="6147" max="6147" width="30.375" style="431" bestFit="1" customWidth="1"/>
    <col min="6148" max="6153" width="9.125" style="431" customWidth="1"/>
    <col min="6154" max="6400" width="8.875" style="431"/>
    <col min="6401" max="6401" width="9.125" style="431" customWidth="1"/>
    <col min="6402" max="6402" width="66.125" style="431" bestFit="1" customWidth="1"/>
    <col min="6403" max="6403" width="30.375" style="431" bestFit="1" customWidth="1"/>
    <col min="6404" max="6409" width="9.125" style="431" customWidth="1"/>
    <col min="6410" max="6656" width="8.875" style="431"/>
    <col min="6657" max="6657" width="9.125" style="431" customWidth="1"/>
    <col min="6658" max="6658" width="66.125" style="431" bestFit="1" customWidth="1"/>
    <col min="6659" max="6659" width="30.375" style="431" bestFit="1" customWidth="1"/>
    <col min="6660" max="6665" width="9.125" style="431" customWidth="1"/>
    <col min="6666" max="6912" width="8.875" style="431"/>
    <col min="6913" max="6913" width="9.125" style="431" customWidth="1"/>
    <col min="6914" max="6914" width="66.125" style="431" bestFit="1" customWidth="1"/>
    <col min="6915" max="6915" width="30.375" style="431" bestFit="1" customWidth="1"/>
    <col min="6916" max="6921" width="9.125" style="431" customWidth="1"/>
    <col min="6922" max="7168" width="8.875" style="431"/>
    <col min="7169" max="7169" width="9.125" style="431" customWidth="1"/>
    <col min="7170" max="7170" width="66.125" style="431" bestFit="1" customWidth="1"/>
    <col min="7171" max="7171" width="30.375" style="431" bestFit="1" customWidth="1"/>
    <col min="7172" max="7177" width="9.125" style="431" customWidth="1"/>
    <col min="7178" max="7424" width="8.875" style="431"/>
    <col min="7425" max="7425" width="9.125" style="431" customWidth="1"/>
    <col min="7426" max="7426" width="66.125" style="431" bestFit="1" customWidth="1"/>
    <col min="7427" max="7427" width="30.375" style="431" bestFit="1" customWidth="1"/>
    <col min="7428" max="7433" width="9.125" style="431" customWidth="1"/>
    <col min="7434" max="7680" width="8.875" style="431"/>
    <col min="7681" max="7681" width="9.125" style="431" customWidth="1"/>
    <col min="7682" max="7682" width="66.125" style="431" bestFit="1" customWidth="1"/>
    <col min="7683" max="7683" width="30.375" style="431" bestFit="1" customWidth="1"/>
    <col min="7684" max="7689" width="9.125" style="431" customWidth="1"/>
    <col min="7690" max="7936" width="8.875" style="431"/>
    <col min="7937" max="7937" width="9.125" style="431" customWidth="1"/>
    <col min="7938" max="7938" width="66.125" style="431" bestFit="1" customWidth="1"/>
    <col min="7939" max="7939" width="30.375" style="431" bestFit="1" customWidth="1"/>
    <col min="7940" max="7945" width="9.125" style="431" customWidth="1"/>
    <col min="7946" max="8192" width="8.875" style="431"/>
    <col min="8193" max="8193" width="9.125" style="431" customWidth="1"/>
    <col min="8194" max="8194" width="66.125" style="431" bestFit="1" customWidth="1"/>
    <col min="8195" max="8195" width="30.375" style="431" bestFit="1" customWidth="1"/>
    <col min="8196" max="8201" width="9.125" style="431" customWidth="1"/>
    <col min="8202" max="8448" width="8.875" style="431"/>
    <col min="8449" max="8449" width="9.125" style="431" customWidth="1"/>
    <col min="8450" max="8450" width="66.125" style="431" bestFit="1" customWidth="1"/>
    <col min="8451" max="8451" width="30.375" style="431" bestFit="1" customWidth="1"/>
    <col min="8452" max="8457" width="9.125" style="431" customWidth="1"/>
    <col min="8458" max="8704" width="8.875" style="431"/>
    <col min="8705" max="8705" width="9.125" style="431" customWidth="1"/>
    <col min="8706" max="8706" width="66.125" style="431" bestFit="1" customWidth="1"/>
    <col min="8707" max="8707" width="30.375" style="431" bestFit="1" customWidth="1"/>
    <col min="8708" max="8713" width="9.125" style="431" customWidth="1"/>
    <col min="8714" max="8960" width="8.875" style="431"/>
    <col min="8961" max="8961" width="9.125" style="431" customWidth="1"/>
    <col min="8962" max="8962" width="66.125" style="431" bestFit="1" customWidth="1"/>
    <col min="8963" max="8963" width="30.375" style="431" bestFit="1" customWidth="1"/>
    <col min="8964" max="8969" width="9.125" style="431" customWidth="1"/>
    <col min="8970" max="9216" width="8.875" style="431"/>
    <col min="9217" max="9217" width="9.125" style="431" customWidth="1"/>
    <col min="9218" max="9218" width="66.125" style="431" bestFit="1" customWidth="1"/>
    <col min="9219" max="9219" width="30.375" style="431" bestFit="1" customWidth="1"/>
    <col min="9220" max="9225" width="9.125" style="431" customWidth="1"/>
    <col min="9226" max="9472" width="8.875" style="431"/>
    <col min="9473" max="9473" width="9.125" style="431" customWidth="1"/>
    <col min="9474" max="9474" width="66.125" style="431" bestFit="1" customWidth="1"/>
    <col min="9475" max="9475" width="30.375" style="431" bestFit="1" customWidth="1"/>
    <col min="9476" max="9481" width="9.125" style="431" customWidth="1"/>
    <col min="9482" max="9728" width="8.875" style="431"/>
    <col min="9729" max="9729" width="9.125" style="431" customWidth="1"/>
    <col min="9730" max="9730" width="66.125" style="431" bestFit="1" customWidth="1"/>
    <col min="9731" max="9731" width="30.375" style="431" bestFit="1" customWidth="1"/>
    <col min="9732" max="9737" width="9.125" style="431" customWidth="1"/>
    <col min="9738" max="9984" width="8.875" style="431"/>
    <col min="9985" max="9985" width="9.125" style="431" customWidth="1"/>
    <col min="9986" max="9986" width="66.125" style="431" bestFit="1" customWidth="1"/>
    <col min="9987" max="9987" width="30.375" style="431" bestFit="1" customWidth="1"/>
    <col min="9988" max="9993" width="9.125" style="431" customWidth="1"/>
    <col min="9994" max="10240" width="8.875" style="431"/>
    <col min="10241" max="10241" width="9.125" style="431" customWidth="1"/>
    <col min="10242" max="10242" width="66.125" style="431" bestFit="1" customWidth="1"/>
    <col min="10243" max="10243" width="30.375" style="431" bestFit="1" customWidth="1"/>
    <col min="10244" max="10249" width="9.125" style="431" customWidth="1"/>
    <col min="10250" max="10496" width="8.875" style="431"/>
    <col min="10497" max="10497" width="9.125" style="431" customWidth="1"/>
    <col min="10498" max="10498" width="66.125" style="431" bestFit="1" customWidth="1"/>
    <col min="10499" max="10499" width="30.375" style="431" bestFit="1" customWidth="1"/>
    <col min="10500" max="10505" width="9.125" style="431" customWidth="1"/>
    <col min="10506" max="10752" width="8.875" style="431"/>
    <col min="10753" max="10753" width="9.125" style="431" customWidth="1"/>
    <col min="10754" max="10754" width="66.125" style="431" bestFit="1" customWidth="1"/>
    <col min="10755" max="10755" width="30.375" style="431" bestFit="1" customWidth="1"/>
    <col min="10756" max="10761" width="9.125" style="431" customWidth="1"/>
    <col min="10762" max="11008" width="8.875" style="431"/>
    <col min="11009" max="11009" width="9.125" style="431" customWidth="1"/>
    <col min="11010" max="11010" width="66.125" style="431" bestFit="1" customWidth="1"/>
    <col min="11011" max="11011" width="30.375" style="431" bestFit="1" customWidth="1"/>
    <col min="11012" max="11017" width="9.125" style="431" customWidth="1"/>
    <col min="11018" max="11264" width="8.875" style="431"/>
    <col min="11265" max="11265" width="9.125" style="431" customWidth="1"/>
    <col min="11266" max="11266" width="66.125" style="431" bestFit="1" customWidth="1"/>
    <col min="11267" max="11267" width="30.375" style="431" bestFit="1" customWidth="1"/>
    <col min="11268" max="11273" width="9.125" style="431" customWidth="1"/>
    <col min="11274" max="11520" width="8.875" style="431"/>
    <col min="11521" max="11521" width="9.125" style="431" customWidth="1"/>
    <col min="11522" max="11522" width="66.125" style="431" bestFit="1" customWidth="1"/>
    <col min="11523" max="11523" width="30.375" style="431" bestFit="1" customWidth="1"/>
    <col min="11524" max="11529" width="9.125" style="431" customWidth="1"/>
    <col min="11530" max="11776" width="8.875" style="431"/>
    <col min="11777" max="11777" width="9.125" style="431" customWidth="1"/>
    <col min="11778" max="11778" width="66.125" style="431" bestFit="1" customWidth="1"/>
    <col min="11779" max="11779" width="30.375" style="431" bestFit="1" customWidth="1"/>
    <col min="11780" max="11785" width="9.125" style="431" customWidth="1"/>
    <col min="11786" max="12032" width="8.875" style="431"/>
    <col min="12033" max="12033" width="9.125" style="431" customWidth="1"/>
    <col min="12034" max="12034" width="66.125" style="431" bestFit="1" customWidth="1"/>
    <col min="12035" max="12035" width="30.375" style="431" bestFit="1" customWidth="1"/>
    <col min="12036" max="12041" width="9.125" style="431" customWidth="1"/>
    <col min="12042" max="12288" width="8.875" style="431"/>
    <col min="12289" max="12289" width="9.125" style="431" customWidth="1"/>
    <col min="12290" max="12290" width="66.125" style="431" bestFit="1" customWidth="1"/>
    <col min="12291" max="12291" width="30.375" style="431" bestFit="1" customWidth="1"/>
    <col min="12292" max="12297" width="9.125" style="431" customWidth="1"/>
    <col min="12298" max="12544" width="8.875" style="431"/>
    <col min="12545" max="12545" width="9.125" style="431" customWidth="1"/>
    <col min="12546" max="12546" width="66.125" style="431" bestFit="1" customWidth="1"/>
    <col min="12547" max="12547" width="30.375" style="431" bestFit="1" customWidth="1"/>
    <col min="12548" max="12553" width="9.125" style="431" customWidth="1"/>
    <col min="12554" max="12800" width="8.875" style="431"/>
    <col min="12801" max="12801" width="9.125" style="431" customWidth="1"/>
    <col min="12802" max="12802" width="66.125" style="431" bestFit="1" customWidth="1"/>
    <col min="12803" max="12803" width="30.375" style="431" bestFit="1" customWidth="1"/>
    <col min="12804" max="12809" width="9.125" style="431" customWidth="1"/>
    <col min="12810" max="13056" width="8.875" style="431"/>
    <col min="13057" max="13057" width="9.125" style="431" customWidth="1"/>
    <col min="13058" max="13058" width="66.125" style="431" bestFit="1" customWidth="1"/>
    <col min="13059" max="13059" width="30.375" style="431" bestFit="1" customWidth="1"/>
    <col min="13060" max="13065" width="9.125" style="431" customWidth="1"/>
    <col min="13066" max="13312" width="8.875" style="431"/>
    <col min="13313" max="13313" width="9.125" style="431" customWidth="1"/>
    <col min="13314" max="13314" width="66.125" style="431" bestFit="1" customWidth="1"/>
    <col min="13315" max="13315" width="30.375" style="431" bestFit="1" customWidth="1"/>
    <col min="13316" max="13321" width="9.125" style="431" customWidth="1"/>
    <col min="13322" max="13568" width="8.875" style="431"/>
    <col min="13569" max="13569" width="9.125" style="431" customWidth="1"/>
    <col min="13570" max="13570" width="66.125" style="431" bestFit="1" customWidth="1"/>
    <col min="13571" max="13571" width="30.375" style="431" bestFit="1" customWidth="1"/>
    <col min="13572" max="13577" width="9.125" style="431" customWidth="1"/>
    <col min="13578" max="13824" width="8.875" style="431"/>
    <col min="13825" max="13825" width="9.125" style="431" customWidth="1"/>
    <col min="13826" max="13826" width="66.125" style="431" bestFit="1" customWidth="1"/>
    <col min="13827" max="13827" width="30.375" style="431" bestFit="1" customWidth="1"/>
    <col min="13828" max="13833" width="9.125" style="431" customWidth="1"/>
    <col min="13834" max="14080" width="8.875" style="431"/>
    <col min="14081" max="14081" width="9.125" style="431" customWidth="1"/>
    <col min="14082" max="14082" width="66.125" style="431" bestFit="1" customWidth="1"/>
    <col min="14083" max="14083" width="30.375" style="431" bestFit="1" customWidth="1"/>
    <col min="14084" max="14089" width="9.125" style="431" customWidth="1"/>
    <col min="14090" max="14336" width="8.875" style="431"/>
    <col min="14337" max="14337" width="9.125" style="431" customWidth="1"/>
    <col min="14338" max="14338" width="66.125" style="431" bestFit="1" customWidth="1"/>
    <col min="14339" max="14339" width="30.375" style="431" bestFit="1" customWidth="1"/>
    <col min="14340" max="14345" width="9.125" style="431" customWidth="1"/>
    <col min="14346" max="14592" width="8.875" style="431"/>
    <col min="14593" max="14593" width="9.125" style="431" customWidth="1"/>
    <col min="14594" max="14594" width="66.125" style="431" bestFit="1" customWidth="1"/>
    <col min="14595" max="14595" width="30.375" style="431" bestFit="1" customWidth="1"/>
    <col min="14596" max="14601" width="9.125" style="431" customWidth="1"/>
    <col min="14602" max="14848" width="8.875" style="431"/>
    <col min="14849" max="14849" width="9.125" style="431" customWidth="1"/>
    <col min="14850" max="14850" width="66.125" style="431" bestFit="1" customWidth="1"/>
    <col min="14851" max="14851" width="30.375" style="431" bestFit="1" customWidth="1"/>
    <col min="14852" max="14857" width="9.125" style="431" customWidth="1"/>
    <col min="14858" max="15104" width="8.875" style="431"/>
    <col min="15105" max="15105" width="9.125" style="431" customWidth="1"/>
    <col min="15106" max="15106" width="66.125" style="431" bestFit="1" customWidth="1"/>
    <col min="15107" max="15107" width="30.375" style="431" bestFit="1" customWidth="1"/>
    <col min="15108" max="15113" width="9.125" style="431" customWidth="1"/>
    <col min="15114" max="15360" width="8.875" style="431"/>
    <col min="15361" max="15361" width="9.125" style="431" customWidth="1"/>
    <col min="15362" max="15362" width="66.125" style="431" bestFit="1" customWidth="1"/>
    <col min="15363" max="15363" width="30.375" style="431" bestFit="1" customWidth="1"/>
    <col min="15364" max="15369" width="9.125" style="431" customWidth="1"/>
    <col min="15370" max="15616" width="8.875" style="431"/>
    <col min="15617" max="15617" width="9.125" style="431" customWidth="1"/>
    <col min="15618" max="15618" width="66.125" style="431" bestFit="1" customWidth="1"/>
    <col min="15619" max="15619" width="30.375" style="431" bestFit="1" customWidth="1"/>
    <col min="15620" max="15625" width="9.125" style="431" customWidth="1"/>
    <col min="15626" max="15872" width="8.875" style="431"/>
    <col min="15873" max="15873" width="9.125" style="431" customWidth="1"/>
    <col min="15874" max="15874" width="66.125" style="431" bestFit="1" customWidth="1"/>
    <col min="15875" max="15875" width="30.375" style="431" bestFit="1" customWidth="1"/>
    <col min="15876" max="15881" width="9.125" style="431" customWidth="1"/>
    <col min="15882" max="16128" width="8.875" style="431"/>
    <col min="16129" max="16129" width="9.125" style="431" customWidth="1"/>
    <col min="16130" max="16130" width="66.125" style="431" bestFit="1" customWidth="1"/>
    <col min="16131" max="16131" width="30.375" style="431" bestFit="1" customWidth="1"/>
    <col min="16132" max="16137" width="9.125" style="431" customWidth="1"/>
    <col min="16138" max="16384" width="8.875" style="431"/>
  </cols>
  <sheetData>
    <row r="1" spans="1:9" x14ac:dyDescent="0.35">
      <c r="B1" s="425"/>
      <c r="C1" s="425"/>
      <c r="G1" s="431"/>
      <c r="H1" s="431"/>
      <c r="I1" s="431"/>
    </row>
    <row r="2" spans="1:9" x14ac:dyDescent="0.35">
      <c r="A2" s="170"/>
      <c r="B2" s="558" t="s">
        <v>321</v>
      </c>
      <c r="C2" s="591"/>
      <c r="G2" s="431"/>
      <c r="H2" s="431"/>
      <c r="I2" s="431"/>
    </row>
    <row r="3" spans="1:9" x14ac:dyDescent="0.35">
      <c r="A3" s="170"/>
      <c r="B3" s="591"/>
      <c r="C3" s="591"/>
      <c r="G3" s="431"/>
      <c r="H3" s="431"/>
      <c r="I3" s="431"/>
    </row>
    <row r="4" spans="1:9" ht="15" customHeight="1" x14ac:dyDescent="0.35">
      <c r="A4" s="170"/>
      <c r="B4" s="558" t="s">
        <v>7</v>
      </c>
      <c r="C4" s="558" t="s">
        <v>8</v>
      </c>
      <c r="H4" s="431"/>
      <c r="I4" s="431"/>
    </row>
    <row r="5" spans="1:9" x14ac:dyDescent="0.35">
      <c r="A5" s="170"/>
      <c r="B5" s="294" t="str">
        <f>IF(ISBLANK(Directions!C6), "Owner", Directions!C6)</f>
        <v>Owner</v>
      </c>
      <c r="C5" s="294" t="str">
        <f>IF(ISBLANK(Directions!D6), "Company 1", Directions!D6)</f>
        <v>Company 1</v>
      </c>
      <c r="H5" s="593"/>
      <c r="I5" s="593"/>
    </row>
    <row r="6" spans="1:9" ht="15.75" customHeight="1" x14ac:dyDescent="0.35">
      <c r="B6" s="594"/>
      <c r="C6" s="594"/>
      <c r="H6" s="593"/>
      <c r="I6" s="593"/>
    </row>
    <row r="7" spans="1:9" ht="16.5" thickBot="1" x14ac:dyDescent="0.4">
      <c r="B7" s="296" t="s">
        <v>322</v>
      </c>
      <c r="C7" s="296"/>
      <c r="F7" s="593"/>
      <c r="G7" s="593"/>
      <c r="H7" s="593"/>
      <c r="I7" s="593"/>
    </row>
    <row r="8" spans="1:9" ht="16.5" thickTop="1" x14ac:dyDescent="0.35">
      <c r="B8" s="226" t="s">
        <v>323</v>
      </c>
      <c r="C8" s="595" t="s">
        <v>324</v>
      </c>
      <c r="G8" s="431"/>
      <c r="H8" s="431"/>
      <c r="I8" s="431"/>
    </row>
    <row r="9" spans="1:9" x14ac:dyDescent="0.35">
      <c r="B9" s="510" t="s">
        <v>325</v>
      </c>
      <c r="C9" s="596" t="s">
        <v>326</v>
      </c>
      <c r="G9" s="431"/>
      <c r="H9" s="431"/>
      <c r="I9" s="431"/>
    </row>
    <row r="10" spans="1:9" x14ac:dyDescent="0.35">
      <c r="B10" s="597" t="s">
        <v>327</v>
      </c>
      <c r="C10" s="598"/>
      <c r="G10" s="431"/>
      <c r="H10" s="431"/>
      <c r="I10" s="431"/>
    </row>
    <row r="11" spans="1:9" x14ac:dyDescent="0.35">
      <c r="B11" s="597" t="s">
        <v>328</v>
      </c>
      <c r="C11" s="598"/>
      <c r="G11" s="431"/>
      <c r="H11" s="431"/>
      <c r="I11" s="431"/>
    </row>
    <row r="12" spans="1:9" x14ac:dyDescent="0.35">
      <c r="B12" s="597" t="s">
        <v>329</v>
      </c>
      <c r="C12" s="598"/>
      <c r="G12" s="431"/>
      <c r="H12" s="431"/>
      <c r="I12" s="431"/>
    </row>
    <row r="13" spans="1:9" x14ac:dyDescent="0.35">
      <c r="B13" s="597" t="s">
        <v>330</v>
      </c>
      <c r="C13" s="598"/>
      <c r="G13" s="431"/>
      <c r="H13" s="431"/>
      <c r="I13" s="431"/>
    </row>
    <row r="14" spans="1:9" x14ac:dyDescent="0.35">
      <c r="B14" s="599" t="s">
        <v>331</v>
      </c>
      <c r="C14" s="142">
        <f>SUM(C10:C13)</f>
        <v>0</v>
      </c>
      <c r="G14" s="431"/>
      <c r="H14" s="431"/>
      <c r="I14" s="431"/>
    </row>
    <row r="15" spans="1:9" x14ac:dyDescent="0.35">
      <c r="B15" s="597" t="s">
        <v>332</v>
      </c>
      <c r="C15" s="600"/>
      <c r="G15" s="431"/>
      <c r="H15" s="431"/>
      <c r="I15" s="431"/>
    </row>
    <row r="16" spans="1:9" x14ac:dyDescent="0.35">
      <c r="B16" s="601" t="s">
        <v>333</v>
      </c>
      <c r="C16" s="165" t="str">
        <f>IF(C15&gt;0,C14/C15,"Please enter all information.")</f>
        <v>Please enter all information.</v>
      </c>
      <c r="G16" s="431"/>
      <c r="H16" s="431"/>
      <c r="I16" s="431"/>
    </row>
    <row r="17" spans="2:9" s="425" customFormat="1" x14ac:dyDescent="0.35">
      <c r="B17" s="602"/>
      <c r="C17" s="166"/>
    </row>
    <row r="18" spans="2:9" s="425" customFormat="1" ht="16.5" thickBot="1" x14ac:dyDescent="0.4">
      <c r="B18" s="296" t="s">
        <v>334</v>
      </c>
      <c r="C18" s="296"/>
    </row>
    <row r="19" spans="2:9" ht="16.5" thickTop="1" x14ac:dyDescent="0.35">
      <c r="B19" s="226" t="s">
        <v>323</v>
      </c>
      <c r="C19" s="595" t="s">
        <v>324</v>
      </c>
      <c r="G19" s="431"/>
      <c r="H19" s="431"/>
      <c r="I19" s="431"/>
    </row>
    <row r="20" spans="2:9" x14ac:dyDescent="0.35">
      <c r="B20" s="510" t="s">
        <v>325</v>
      </c>
      <c r="C20" s="596" t="s">
        <v>335</v>
      </c>
      <c r="G20" s="431"/>
      <c r="H20" s="431"/>
      <c r="I20" s="431"/>
    </row>
    <row r="21" spans="2:9" x14ac:dyDescent="0.35">
      <c r="B21" s="597" t="s">
        <v>336</v>
      </c>
      <c r="C21" s="598"/>
      <c r="G21" s="431"/>
      <c r="H21" s="431"/>
      <c r="I21" s="431"/>
    </row>
    <row r="22" spans="2:9" x14ac:dyDescent="0.35">
      <c r="B22" s="597" t="s">
        <v>337</v>
      </c>
      <c r="C22" s="598"/>
      <c r="G22" s="431"/>
      <c r="H22" s="431"/>
      <c r="I22" s="431"/>
    </row>
    <row r="23" spans="2:9" x14ac:dyDescent="0.35">
      <c r="B23" s="597" t="s">
        <v>338</v>
      </c>
      <c r="C23" s="598"/>
      <c r="G23" s="431"/>
      <c r="H23" s="431"/>
      <c r="I23" s="431"/>
    </row>
    <row r="24" spans="2:9" x14ac:dyDescent="0.35">
      <c r="B24" s="599" t="s">
        <v>339</v>
      </c>
      <c r="C24" s="142">
        <f>SUM(C21:C23)</f>
        <v>0</v>
      </c>
      <c r="G24" s="431"/>
      <c r="H24" s="431"/>
      <c r="I24" s="431"/>
    </row>
    <row r="25" spans="2:9" x14ac:dyDescent="0.35">
      <c r="B25" s="597" t="s">
        <v>340</v>
      </c>
      <c r="C25" s="600"/>
      <c r="G25" s="431"/>
      <c r="H25" s="431"/>
      <c r="I25" s="431"/>
    </row>
    <row r="26" spans="2:9" x14ac:dyDescent="0.35">
      <c r="B26" s="601" t="s">
        <v>333</v>
      </c>
      <c r="C26" s="165" t="str">
        <f>IF(C25&gt;0,C24/C25,"Please enter all information.")</f>
        <v>Please enter all information.</v>
      </c>
      <c r="G26" s="431"/>
      <c r="H26" s="431"/>
      <c r="I26" s="431"/>
    </row>
    <row r="27" spans="2:9" x14ac:dyDescent="0.35">
      <c r="B27" s="118"/>
      <c r="C27" s="118"/>
      <c r="G27" s="431"/>
      <c r="H27" s="431"/>
      <c r="I27" s="431"/>
    </row>
    <row r="28" spans="2:9" x14ac:dyDescent="0.35">
      <c r="B28" s="118"/>
      <c r="C28" s="118"/>
      <c r="G28" s="431"/>
      <c r="H28" s="431"/>
      <c r="I28" s="431"/>
    </row>
    <row r="29" spans="2:9" x14ac:dyDescent="0.35">
      <c r="B29" s="118"/>
      <c r="C29" s="603" t="s">
        <v>341</v>
      </c>
      <c r="D29" s="603"/>
      <c r="E29" s="603"/>
      <c r="G29" s="431"/>
      <c r="H29" s="431"/>
      <c r="I29" s="431"/>
    </row>
    <row r="30" spans="2:9" x14ac:dyDescent="0.35">
      <c r="C30" s="603"/>
      <c r="D30" s="603"/>
      <c r="E30" s="603"/>
      <c r="G30" s="431"/>
      <c r="H30" s="431"/>
      <c r="I30" s="431"/>
    </row>
    <row r="31" spans="2:9" x14ac:dyDescent="0.35">
      <c r="C31" s="603"/>
      <c r="D31" s="603"/>
      <c r="E31" s="603"/>
      <c r="G31" s="431"/>
      <c r="H31" s="431"/>
      <c r="I31" s="431"/>
    </row>
    <row r="32" spans="2:9" x14ac:dyDescent="0.35">
      <c r="G32" s="431"/>
      <c r="H32" s="431"/>
      <c r="I32" s="431"/>
    </row>
    <row r="33" spans="7:9" x14ac:dyDescent="0.35">
      <c r="G33" s="431"/>
      <c r="H33" s="431"/>
      <c r="I33" s="431"/>
    </row>
    <row r="34" spans="7:9" x14ac:dyDescent="0.35">
      <c r="G34" s="431"/>
      <c r="H34" s="431"/>
      <c r="I34" s="431"/>
    </row>
    <row r="35" spans="7:9" x14ac:dyDescent="0.35">
      <c r="G35" s="431"/>
      <c r="H35" s="431"/>
      <c r="I35" s="431"/>
    </row>
    <row r="36" spans="7:9" x14ac:dyDescent="0.35">
      <c r="G36" s="431"/>
      <c r="H36" s="431"/>
      <c r="I36" s="431"/>
    </row>
    <row r="37" spans="7:9" x14ac:dyDescent="0.35">
      <c r="G37" s="431"/>
      <c r="H37" s="431"/>
      <c r="I37" s="431"/>
    </row>
    <row r="38" spans="7:9" x14ac:dyDescent="0.35">
      <c r="G38" s="431"/>
      <c r="H38" s="431"/>
      <c r="I38" s="431"/>
    </row>
    <row r="39" spans="7:9" x14ac:dyDescent="0.35">
      <c r="G39" s="431"/>
      <c r="H39" s="431"/>
      <c r="I39" s="431"/>
    </row>
    <row r="40" spans="7:9" x14ac:dyDescent="0.35">
      <c r="G40" s="431"/>
      <c r="H40" s="431"/>
      <c r="I40" s="431"/>
    </row>
    <row r="41" spans="7:9" x14ac:dyDescent="0.35">
      <c r="G41" s="431"/>
      <c r="H41" s="431"/>
      <c r="I41" s="431"/>
    </row>
    <row r="42" spans="7:9" x14ac:dyDescent="0.35">
      <c r="G42" s="431"/>
      <c r="H42" s="431"/>
      <c r="I42" s="431"/>
    </row>
    <row r="43" spans="7:9" x14ac:dyDescent="0.35">
      <c r="G43" s="431"/>
      <c r="H43" s="431"/>
      <c r="I43" s="431"/>
    </row>
    <row r="44" spans="7:9" x14ac:dyDescent="0.35">
      <c r="G44" s="431"/>
      <c r="H44" s="431"/>
      <c r="I44" s="431"/>
    </row>
    <row r="45" spans="7:9" x14ac:dyDescent="0.35">
      <c r="G45" s="431"/>
      <c r="H45" s="431"/>
      <c r="I45" s="431"/>
    </row>
    <row r="46" spans="7:9" x14ac:dyDescent="0.35">
      <c r="G46" s="431"/>
      <c r="H46" s="431"/>
      <c r="I46" s="431"/>
    </row>
  </sheetData>
  <sheetProtection formatColumns="0" formatRows="0"/>
  <mergeCells count="3">
    <mergeCell ref="B7:C7"/>
    <mergeCell ref="B18:C18"/>
    <mergeCell ref="C29:E31"/>
  </mergeCells>
  <conditionalFormatting sqref="C25">
    <cfRule type="containsBlanks" dxfId="1" priority="1" stopIfTrue="1">
      <formula>LEN(TRIM(C25))=0</formula>
    </cfRule>
  </conditionalFormatting>
  <conditionalFormatting sqref="C21:C23 C15 C10:C13">
    <cfRule type="containsBlanks" dxfId="0" priority="2" stopIfTrue="1">
      <formula>LEN(TRIM(C10))=0</formula>
    </cfRule>
  </conditionalFormatting>
  <hyperlinks>
    <hyperlink ref="C29:E31" location="'3a-SalesForecastYear1'!A1" display="Return to Sales Forecast Year 1"/>
  </hyperlinks>
  <printOptions horizontalCentered="1"/>
  <pageMargins left="0.25" right="0.25" top="0.75" bottom="0.75" header="0.3" footer="0.3"/>
  <pageSetup orientation="landscape" r:id="rId1"/>
  <headerFooter scaleWithDoc="0">
    <oddHeader>&amp;C&amp;"Gill Sans MT,Regular"&amp;12COGS Calculator</oddHeader>
    <oddFooter>&amp;L&amp;"Gill Sans MT,Regular"&amp;12&amp;F&amp;C&amp;"Gill Sans MT,Regular"&amp;12&amp;A&amp;R&amp;"Gill Sans MT,Regular"&amp;12 &amp;D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BC4C7"/>
    <pageSetUpPr autoPageBreaks="0"/>
  </sheetPr>
  <dimension ref="B2:Q159"/>
  <sheetViews>
    <sheetView topLeftCell="C127" zoomScaleNormal="100" zoomScaleSheetLayoutView="40" zoomScalePageLayoutView="70" workbookViewId="0">
      <selection activeCell="J32" sqref="J32"/>
    </sheetView>
  </sheetViews>
  <sheetFormatPr defaultColWidth="9.125" defaultRowHeight="15.75" x14ac:dyDescent="0.35"/>
  <cols>
    <col min="1" max="1" width="9.125" style="120"/>
    <col min="2" max="2" width="27.75" style="120" bestFit="1" customWidth="1"/>
    <col min="3" max="3" width="17.375" style="120" bestFit="1" customWidth="1"/>
    <col min="4" max="10" width="9.75" style="120" customWidth="1"/>
    <col min="11" max="11" width="10.375" style="120" bestFit="1" customWidth="1"/>
    <col min="12" max="14" width="9.75" style="120" customWidth="1"/>
    <col min="15" max="15" width="9.25" style="120" customWidth="1"/>
    <col min="16" max="257" width="9.125" style="120"/>
    <col min="258" max="258" width="27.75" style="120" bestFit="1" customWidth="1"/>
    <col min="259" max="259" width="17.375" style="120" bestFit="1" customWidth="1"/>
    <col min="260" max="266" width="9.75" style="120" customWidth="1"/>
    <col min="267" max="267" width="10.375" style="120" bestFit="1" customWidth="1"/>
    <col min="268" max="270" width="9.75" style="120" customWidth="1"/>
    <col min="271" max="271" width="9.25" style="120" customWidth="1"/>
    <col min="272" max="513" width="9.125" style="120"/>
    <col min="514" max="514" width="27.75" style="120" bestFit="1" customWidth="1"/>
    <col min="515" max="515" width="17.375" style="120" bestFit="1" customWidth="1"/>
    <col min="516" max="522" width="9.75" style="120" customWidth="1"/>
    <col min="523" max="523" width="10.375" style="120" bestFit="1" customWidth="1"/>
    <col min="524" max="526" width="9.75" style="120" customWidth="1"/>
    <col min="527" max="527" width="9.25" style="120" customWidth="1"/>
    <col min="528" max="769" width="9.125" style="120"/>
    <col min="770" max="770" width="27.75" style="120" bestFit="1" customWidth="1"/>
    <col min="771" max="771" width="17.375" style="120" bestFit="1" customWidth="1"/>
    <col min="772" max="778" width="9.75" style="120" customWidth="1"/>
    <col min="779" max="779" width="10.375" style="120" bestFit="1" customWidth="1"/>
    <col min="780" max="782" width="9.75" style="120" customWidth="1"/>
    <col min="783" max="783" width="9.25" style="120" customWidth="1"/>
    <col min="784" max="1025" width="9.125" style="120"/>
    <col min="1026" max="1026" width="27.75" style="120" bestFit="1" customWidth="1"/>
    <col min="1027" max="1027" width="17.375" style="120" bestFit="1" customWidth="1"/>
    <col min="1028" max="1034" width="9.75" style="120" customWidth="1"/>
    <col min="1035" max="1035" width="10.375" style="120" bestFit="1" customWidth="1"/>
    <col min="1036" max="1038" width="9.75" style="120" customWidth="1"/>
    <col min="1039" max="1039" width="9.25" style="120" customWidth="1"/>
    <col min="1040" max="1281" width="9.125" style="120"/>
    <col min="1282" max="1282" width="27.75" style="120" bestFit="1" customWidth="1"/>
    <col min="1283" max="1283" width="17.375" style="120" bestFit="1" customWidth="1"/>
    <col min="1284" max="1290" width="9.75" style="120" customWidth="1"/>
    <col min="1291" max="1291" width="10.375" style="120" bestFit="1" customWidth="1"/>
    <col min="1292" max="1294" width="9.75" style="120" customWidth="1"/>
    <col min="1295" max="1295" width="9.25" style="120" customWidth="1"/>
    <col min="1296" max="1537" width="9.125" style="120"/>
    <col min="1538" max="1538" width="27.75" style="120" bestFit="1" customWidth="1"/>
    <col min="1539" max="1539" width="17.375" style="120" bestFit="1" customWidth="1"/>
    <col min="1540" max="1546" width="9.75" style="120" customWidth="1"/>
    <col min="1547" max="1547" width="10.375" style="120" bestFit="1" customWidth="1"/>
    <col min="1548" max="1550" width="9.75" style="120" customWidth="1"/>
    <col min="1551" max="1551" width="9.25" style="120" customWidth="1"/>
    <col min="1552" max="1793" width="9.125" style="120"/>
    <col min="1794" max="1794" width="27.75" style="120" bestFit="1" customWidth="1"/>
    <col min="1795" max="1795" width="17.375" style="120" bestFit="1" customWidth="1"/>
    <col min="1796" max="1802" width="9.75" style="120" customWidth="1"/>
    <col min="1803" max="1803" width="10.375" style="120" bestFit="1" customWidth="1"/>
    <col min="1804" max="1806" width="9.75" style="120" customWidth="1"/>
    <col min="1807" max="1807" width="9.25" style="120" customWidth="1"/>
    <col min="1808" max="2049" width="9.125" style="120"/>
    <col min="2050" max="2050" width="27.75" style="120" bestFit="1" customWidth="1"/>
    <col min="2051" max="2051" width="17.375" style="120" bestFit="1" customWidth="1"/>
    <col min="2052" max="2058" width="9.75" style="120" customWidth="1"/>
    <col min="2059" max="2059" width="10.375" style="120" bestFit="1" customWidth="1"/>
    <col min="2060" max="2062" width="9.75" style="120" customWidth="1"/>
    <col min="2063" max="2063" width="9.25" style="120" customWidth="1"/>
    <col min="2064" max="2305" width="9.125" style="120"/>
    <col min="2306" max="2306" width="27.75" style="120" bestFit="1" customWidth="1"/>
    <col min="2307" max="2307" width="17.375" style="120" bestFit="1" customWidth="1"/>
    <col min="2308" max="2314" width="9.75" style="120" customWidth="1"/>
    <col min="2315" max="2315" width="10.375" style="120" bestFit="1" customWidth="1"/>
    <col min="2316" max="2318" width="9.75" style="120" customWidth="1"/>
    <col min="2319" max="2319" width="9.25" style="120" customWidth="1"/>
    <col min="2320" max="2561" width="9.125" style="120"/>
    <col min="2562" max="2562" width="27.75" style="120" bestFit="1" customWidth="1"/>
    <col min="2563" max="2563" width="17.375" style="120" bestFit="1" customWidth="1"/>
    <col min="2564" max="2570" width="9.75" style="120" customWidth="1"/>
    <col min="2571" max="2571" width="10.375" style="120" bestFit="1" customWidth="1"/>
    <col min="2572" max="2574" width="9.75" style="120" customWidth="1"/>
    <col min="2575" max="2575" width="9.25" style="120" customWidth="1"/>
    <col min="2576" max="2817" width="9.125" style="120"/>
    <col min="2818" max="2818" width="27.75" style="120" bestFit="1" customWidth="1"/>
    <col min="2819" max="2819" width="17.375" style="120" bestFit="1" customWidth="1"/>
    <col min="2820" max="2826" width="9.75" style="120" customWidth="1"/>
    <col min="2827" max="2827" width="10.375" style="120" bestFit="1" customWidth="1"/>
    <col min="2828" max="2830" width="9.75" style="120" customWidth="1"/>
    <col min="2831" max="2831" width="9.25" style="120" customWidth="1"/>
    <col min="2832" max="3073" width="9.125" style="120"/>
    <col min="3074" max="3074" width="27.75" style="120" bestFit="1" customWidth="1"/>
    <col min="3075" max="3075" width="17.375" style="120" bestFit="1" customWidth="1"/>
    <col min="3076" max="3082" width="9.75" style="120" customWidth="1"/>
    <col min="3083" max="3083" width="10.375" style="120" bestFit="1" customWidth="1"/>
    <col min="3084" max="3086" width="9.75" style="120" customWidth="1"/>
    <col min="3087" max="3087" width="9.25" style="120" customWidth="1"/>
    <col min="3088" max="3329" width="9.125" style="120"/>
    <col min="3330" max="3330" width="27.75" style="120" bestFit="1" customWidth="1"/>
    <col min="3331" max="3331" width="17.375" style="120" bestFit="1" customWidth="1"/>
    <col min="3332" max="3338" width="9.75" style="120" customWidth="1"/>
    <col min="3339" max="3339" width="10.375" style="120" bestFit="1" customWidth="1"/>
    <col min="3340" max="3342" width="9.75" style="120" customWidth="1"/>
    <col min="3343" max="3343" width="9.25" style="120" customWidth="1"/>
    <col min="3344" max="3585" width="9.125" style="120"/>
    <col min="3586" max="3586" width="27.75" style="120" bestFit="1" customWidth="1"/>
    <col min="3587" max="3587" width="17.375" style="120" bestFit="1" customWidth="1"/>
    <col min="3588" max="3594" width="9.75" style="120" customWidth="1"/>
    <col min="3595" max="3595" width="10.375" style="120" bestFit="1" customWidth="1"/>
    <col min="3596" max="3598" width="9.75" style="120" customWidth="1"/>
    <col min="3599" max="3599" width="9.25" style="120" customWidth="1"/>
    <col min="3600" max="3841" width="9.125" style="120"/>
    <col min="3842" max="3842" width="27.75" style="120" bestFit="1" customWidth="1"/>
    <col min="3843" max="3843" width="17.375" style="120" bestFit="1" customWidth="1"/>
    <col min="3844" max="3850" width="9.75" style="120" customWidth="1"/>
    <col min="3851" max="3851" width="10.375" style="120" bestFit="1" customWidth="1"/>
    <col min="3852" max="3854" width="9.75" style="120" customWidth="1"/>
    <col min="3855" max="3855" width="9.25" style="120" customWidth="1"/>
    <col min="3856" max="4097" width="9.125" style="120"/>
    <col min="4098" max="4098" width="27.75" style="120" bestFit="1" customWidth="1"/>
    <col min="4099" max="4099" width="17.375" style="120" bestFit="1" customWidth="1"/>
    <col min="4100" max="4106" width="9.75" style="120" customWidth="1"/>
    <col min="4107" max="4107" width="10.375" style="120" bestFit="1" customWidth="1"/>
    <col min="4108" max="4110" width="9.75" style="120" customWidth="1"/>
    <col min="4111" max="4111" width="9.25" style="120" customWidth="1"/>
    <col min="4112" max="4353" width="9.125" style="120"/>
    <col min="4354" max="4354" width="27.75" style="120" bestFit="1" customWidth="1"/>
    <col min="4355" max="4355" width="17.375" style="120" bestFit="1" customWidth="1"/>
    <col min="4356" max="4362" width="9.75" style="120" customWidth="1"/>
    <col min="4363" max="4363" width="10.375" style="120" bestFit="1" customWidth="1"/>
    <col min="4364" max="4366" width="9.75" style="120" customWidth="1"/>
    <col min="4367" max="4367" width="9.25" style="120" customWidth="1"/>
    <col min="4368" max="4609" width="9.125" style="120"/>
    <col min="4610" max="4610" width="27.75" style="120" bestFit="1" customWidth="1"/>
    <col min="4611" max="4611" width="17.375" style="120" bestFit="1" customWidth="1"/>
    <col min="4612" max="4618" width="9.75" style="120" customWidth="1"/>
    <col min="4619" max="4619" width="10.375" style="120" bestFit="1" customWidth="1"/>
    <col min="4620" max="4622" width="9.75" style="120" customWidth="1"/>
    <col min="4623" max="4623" width="9.25" style="120" customWidth="1"/>
    <col min="4624" max="4865" width="9.125" style="120"/>
    <col min="4866" max="4866" width="27.75" style="120" bestFit="1" customWidth="1"/>
    <col min="4867" max="4867" width="17.375" style="120" bestFit="1" customWidth="1"/>
    <col min="4868" max="4874" width="9.75" style="120" customWidth="1"/>
    <col min="4875" max="4875" width="10.375" style="120" bestFit="1" customWidth="1"/>
    <col min="4876" max="4878" width="9.75" style="120" customWidth="1"/>
    <col min="4879" max="4879" width="9.25" style="120" customWidth="1"/>
    <col min="4880" max="5121" width="9.125" style="120"/>
    <col min="5122" max="5122" width="27.75" style="120" bestFit="1" customWidth="1"/>
    <col min="5123" max="5123" width="17.375" style="120" bestFit="1" customWidth="1"/>
    <col min="5124" max="5130" width="9.75" style="120" customWidth="1"/>
    <col min="5131" max="5131" width="10.375" style="120" bestFit="1" customWidth="1"/>
    <col min="5132" max="5134" width="9.75" style="120" customWidth="1"/>
    <col min="5135" max="5135" width="9.25" style="120" customWidth="1"/>
    <col min="5136" max="5377" width="9.125" style="120"/>
    <col min="5378" max="5378" width="27.75" style="120" bestFit="1" customWidth="1"/>
    <col min="5379" max="5379" width="17.375" style="120" bestFit="1" customWidth="1"/>
    <col min="5380" max="5386" width="9.75" style="120" customWidth="1"/>
    <col min="5387" max="5387" width="10.375" style="120" bestFit="1" customWidth="1"/>
    <col min="5388" max="5390" width="9.75" style="120" customWidth="1"/>
    <col min="5391" max="5391" width="9.25" style="120" customWidth="1"/>
    <col min="5392" max="5633" width="9.125" style="120"/>
    <col min="5634" max="5634" width="27.75" style="120" bestFit="1" customWidth="1"/>
    <col min="5635" max="5635" width="17.375" style="120" bestFit="1" customWidth="1"/>
    <col min="5636" max="5642" width="9.75" style="120" customWidth="1"/>
    <col min="5643" max="5643" width="10.375" style="120" bestFit="1" customWidth="1"/>
    <col min="5644" max="5646" width="9.75" style="120" customWidth="1"/>
    <col min="5647" max="5647" width="9.25" style="120" customWidth="1"/>
    <col min="5648" max="5889" width="9.125" style="120"/>
    <col min="5890" max="5890" width="27.75" style="120" bestFit="1" customWidth="1"/>
    <col min="5891" max="5891" width="17.375" style="120" bestFit="1" customWidth="1"/>
    <col min="5892" max="5898" width="9.75" style="120" customWidth="1"/>
    <col min="5899" max="5899" width="10.375" style="120" bestFit="1" customWidth="1"/>
    <col min="5900" max="5902" width="9.75" style="120" customWidth="1"/>
    <col min="5903" max="5903" width="9.25" style="120" customWidth="1"/>
    <col min="5904" max="6145" width="9.125" style="120"/>
    <col min="6146" max="6146" width="27.75" style="120" bestFit="1" customWidth="1"/>
    <col min="6147" max="6147" width="17.375" style="120" bestFit="1" customWidth="1"/>
    <col min="6148" max="6154" width="9.75" style="120" customWidth="1"/>
    <col min="6155" max="6155" width="10.375" style="120" bestFit="1" customWidth="1"/>
    <col min="6156" max="6158" width="9.75" style="120" customWidth="1"/>
    <col min="6159" max="6159" width="9.25" style="120" customWidth="1"/>
    <col min="6160" max="6401" width="9.125" style="120"/>
    <col min="6402" max="6402" width="27.75" style="120" bestFit="1" customWidth="1"/>
    <col min="6403" max="6403" width="17.375" style="120" bestFit="1" customWidth="1"/>
    <col min="6404" max="6410" width="9.75" style="120" customWidth="1"/>
    <col min="6411" max="6411" width="10.375" style="120" bestFit="1" customWidth="1"/>
    <col min="6412" max="6414" width="9.75" style="120" customWidth="1"/>
    <col min="6415" max="6415" width="9.25" style="120" customWidth="1"/>
    <col min="6416" max="6657" width="9.125" style="120"/>
    <col min="6658" max="6658" width="27.75" style="120" bestFit="1" customWidth="1"/>
    <col min="6659" max="6659" width="17.375" style="120" bestFit="1" customWidth="1"/>
    <col min="6660" max="6666" width="9.75" style="120" customWidth="1"/>
    <col min="6667" max="6667" width="10.375" style="120" bestFit="1" customWidth="1"/>
    <col min="6668" max="6670" width="9.75" style="120" customWidth="1"/>
    <col min="6671" max="6671" width="9.25" style="120" customWidth="1"/>
    <col min="6672" max="6913" width="9.125" style="120"/>
    <col min="6914" max="6914" width="27.75" style="120" bestFit="1" customWidth="1"/>
    <col min="6915" max="6915" width="17.375" style="120" bestFit="1" customWidth="1"/>
    <col min="6916" max="6922" width="9.75" style="120" customWidth="1"/>
    <col min="6923" max="6923" width="10.375" style="120" bestFit="1" customWidth="1"/>
    <col min="6924" max="6926" width="9.75" style="120" customWidth="1"/>
    <col min="6927" max="6927" width="9.25" style="120" customWidth="1"/>
    <col min="6928" max="7169" width="9.125" style="120"/>
    <col min="7170" max="7170" width="27.75" style="120" bestFit="1" customWidth="1"/>
    <col min="7171" max="7171" width="17.375" style="120" bestFit="1" customWidth="1"/>
    <col min="7172" max="7178" width="9.75" style="120" customWidth="1"/>
    <col min="7179" max="7179" width="10.375" style="120" bestFit="1" customWidth="1"/>
    <col min="7180" max="7182" width="9.75" style="120" customWidth="1"/>
    <col min="7183" max="7183" width="9.25" style="120" customWidth="1"/>
    <col min="7184" max="7425" width="9.125" style="120"/>
    <col min="7426" max="7426" width="27.75" style="120" bestFit="1" customWidth="1"/>
    <col min="7427" max="7427" width="17.375" style="120" bestFit="1" customWidth="1"/>
    <col min="7428" max="7434" width="9.75" style="120" customWidth="1"/>
    <col min="7435" max="7435" width="10.375" style="120" bestFit="1" customWidth="1"/>
    <col min="7436" max="7438" width="9.75" style="120" customWidth="1"/>
    <col min="7439" max="7439" width="9.25" style="120" customWidth="1"/>
    <col min="7440" max="7681" width="9.125" style="120"/>
    <col min="7682" max="7682" width="27.75" style="120" bestFit="1" customWidth="1"/>
    <col min="7683" max="7683" width="17.375" style="120" bestFit="1" customWidth="1"/>
    <col min="7684" max="7690" width="9.75" style="120" customWidth="1"/>
    <col min="7691" max="7691" width="10.375" style="120" bestFit="1" customWidth="1"/>
    <col min="7692" max="7694" width="9.75" style="120" customWidth="1"/>
    <col min="7695" max="7695" width="9.25" style="120" customWidth="1"/>
    <col min="7696" max="7937" width="9.125" style="120"/>
    <col min="7938" max="7938" width="27.75" style="120" bestFit="1" customWidth="1"/>
    <col min="7939" max="7939" width="17.375" style="120" bestFit="1" customWidth="1"/>
    <col min="7940" max="7946" width="9.75" style="120" customWidth="1"/>
    <col min="7947" max="7947" width="10.375" style="120" bestFit="1" customWidth="1"/>
    <col min="7948" max="7950" width="9.75" style="120" customWidth="1"/>
    <col min="7951" max="7951" width="9.25" style="120" customWidth="1"/>
    <col min="7952" max="8193" width="9.125" style="120"/>
    <col min="8194" max="8194" width="27.75" style="120" bestFit="1" customWidth="1"/>
    <col min="8195" max="8195" width="17.375" style="120" bestFit="1" customWidth="1"/>
    <col min="8196" max="8202" width="9.75" style="120" customWidth="1"/>
    <col min="8203" max="8203" width="10.375" style="120" bestFit="1" customWidth="1"/>
    <col min="8204" max="8206" width="9.75" style="120" customWidth="1"/>
    <col min="8207" max="8207" width="9.25" style="120" customWidth="1"/>
    <col min="8208" max="8449" width="9.125" style="120"/>
    <col min="8450" max="8450" width="27.75" style="120" bestFit="1" customWidth="1"/>
    <col min="8451" max="8451" width="17.375" style="120" bestFit="1" customWidth="1"/>
    <col min="8452" max="8458" width="9.75" style="120" customWidth="1"/>
    <col min="8459" max="8459" width="10.375" style="120" bestFit="1" customWidth="1"/>
    <col min="8460" max="8462" width="9.75" style="120" customWidth="1"/>
    <col min="8463" max="8463" width="9.25" style="120" customWidth="1"/>
    <col min="8464" max="8705" width="9.125" style="120"/>
    <col min="8706" max="8706" width="27.75" style="120" bestFit="1" customWidth="1"/>
    <col min="8707" max="8707" width="17.375" style="120" bestFit="1" customWidth="1"/>
    <col min="8708" max="8714" width="9.75" style="120" customWidth="1"/>
    <col min="8715" max="8715" width="10.375" style="120" bestFit="1" customWidth="1"/>
    <col min="8716" max="8718" width="9.75" style="120" customWidth="1"/>
    <col min="8719" max="8719" width="9.25" style="120" customWidth="1"/>
    <col min="8720" max="8961" width="9.125" style="120"/>
    <col min="8962" max="8962" width="27.75" style="120" bestFit="1" customWidth="1"/>
    <col min="8963" max="8963" width="17.375" style="120" bestFit="1" customWidth="1"/>
    <col min="8964" max="8970" width="9.75" style="120" customWidth="1"/>
    <col min="8971" max="8971" width="10.375" style="120" bestFit="1" customWidth="1"/>
    <col min="8972" max="8974" width="9.75" style="120" customWidth="1"/>
    <col min="8975" max="8975" width="9.25" style="120" customWidth="1"/>
    <col min="8976" max="9217" width="9.125" style="120"/>
    <col min="9218" max="9218" width="27.75" style="120" bestFit="1" customWidth="1"/>
    <col min="9219" max="9219" width="17.375" style="120" bestFit="1" customWidth="1"/>
    <col min="9220" max="9226" width="9.75" style="120" customWidth="1"/>
    <col min="9227" max="9227" width="10.375" style="120" bestFit="1" customWidth="1"/>
    <col min="9228" max="9230" width="9.75" style="120" customWidth="1"/>
    <col min="9231" max="9231" width="9.25" style="120" customWidth="1"/>
    <col min="9232" max="9473" width="9.125" style="120"/>
    <col min="9474" max="9474" width="27.75" style="120" bestFit="1" customWidth="1"/>
    <col min="9475" max="9475" width="17.375" style="120" bestFit="1" customWidth="1"/>
    <col min="9476" max="9482" width="9.75" style="120" customWidth="1"/>
    <col min="9483" max="9483" width="10.375" style="120" bestFit="1" customWidth="1"/>
    <col min="9484" max="9486" width="9.75" style="120" customWidth="1"/>
    <col min="9487" max="9487" width="9.25" style="120" customWidth="1"/>
    <col min="9488" max="9729" width="9.125" style="120"/>
    <col min="9730" max="9730" width="27.75" style="120" bestFit="1" customWidth="1"/>
    <col min="9731" max="9731" width="17.375" style="120" bestFit="1" customWidth="1"/>
    <col min="9732" max="9738" width="9.75" style="120" customWidth="1"/>
    <col min="9739" max="9739" width="10.375" style="120" bestFit="1" customWidth="1"/>
    <col min="9740" max="9742" width="9.75" style="120" customWidth="1"/>
    <col min="9743" max="9743" width="9.25" style="120" customWidth="1"/>
    <col min="9744" max="9985" width="9.125" style="120"/>
    <col min="9986" max="9986" width="27.75" style="120" bestFit="1" customWidth="1"/>
    <col min="9987" max="9987" width="17.375" style="120" bestFit="1" customWidth="1"/>
    <col min="9988" max="9994" width="9.75" style="120" customWidth="1"/>
    <col min="9995" max="9995" width="10.375" style="120" bestFit="1" customWidth="1"/>
    <col min="9996" max="9998" width="9.75" style="120" customWidth="1"/>
    <col min="9999" max="9999" width="9.25" style="120" customWidth="1"/>
    <col min="10000" max="10241" width="9.125" style="120"/>
    <col min="10242" max="10242" width="27.75" style="120" bestFit="1" customWidth="1"/>
    <col min="10243" max="10243" width="17.375" style="120" bestFit="1" customWidth="1"/>
    <col min="10244" max="10250" width="9.75" style="120" customWidth="1"/>
    <col min="10251" max="10251" width="10.375" style="120" bestFit="1" customWidth="1"/>
    <col min="10252" max="10254" width="9.75" style="120" customWidth="1"/>
    <col min="10255" max="10255" width="9.25" style="120" customWidth="1"/>
    <col min="10256" max="10497" width="9.125" style="120"/>
    <col min="10498" max="10498" width="27.75" style="120" bestFit="1" customWidth="1"/>
    <col min="10499" max="10499" width="17.375" style="120" bestFit="1" customWidth="1"/>
    <col min="10500" max="10506" width="9.75" style="120" customWidth="1"/>
    <col min="10507" max="10507" width="10.375" style="120" bestFit="1" customWidth="1"/>
    <col min="10508" max="10510" width="9.75" style="120" customWidth="1"/>
    <col min="10511" max="10511" width="9.25" style="120" customWidth="1"/>
    <col min="10512" max="10753" width="9.125" style="120"/>
    <col min="10754" max="10754" width="27.75" style="120" bestFit="1" customWidth="1"/>
    <col min="10755" max="10755" width="17.375" style="120" bestFit="1" customWidth="1"/>
    <col min="10756" max="10762" width="9.75" style="120" customWidth="1"/>
    <col min="10763" max="10763" width="10.375" style="120" bestFit="1" customWidth="1"/>
    <col min="10764" max="10766" width="9.75" style="120" customWidth="1"/>
    <col min="10767" max="10767" width="9.25" style="120" customWidth="1"/>
    <col min="10768" max="11009" width="9.125" style="120"/>
    <col min="11010" max="11010" width="27.75" style="120" bestFit="1" customWidth="1"/>
    <col min="11011" max="11011" width="17.375" style="120" bestFit="1" customWidth="1"/>
    <col min="11012" max="11018" width="9.75" style="120" customWidth="1"/>
    <col min="11019" max="11019" width="10.375" style="120" bestFit="1" customWidth="1"/>
    <col min="11020" max="11022" width="9.75" style="120" customWidth="1"/>
    <col min="11023" max="11023" width="9.25" style="120" customWidth="1"/>
    <col min="11024" max="11265" width="9.125" style="120"/>
    <col min="11266" max="11266" width="27.75" style="120" bestFit="1" customWidth="1"/>
    <col min="11267" max="11267" width="17.375" style="120" bestFit="1" customWidth="1"/>
    <col min="11268" max="11274" width="9.75" style="120" customWidth="1"/>
    <col min="11275" max="11275" width="10.375" style="120" bestFit="1" customWidth="1"/>
    <col min="11276" max="11278" width="9.75" style="120" customWidth="1"/>
    <col min="11279" max="11279" width="9.25" style="120" customWidth="1"/>
    <col min="11280" max="11521" width="9.125" style="120"/>
    <col min="11522" max="11522" width="27.75" style="120" bestFit="1" customWidth="1"/>
    <col min="11523" max="11523" width="17.375" style="120" bestFit="1" customWidth="1"/>
    <col min="11524" max="11530" width="9.75" style="120" customWidth="1"/>
    <col min="11531" max="11531" width="10.375" style="120" bestFit="1" customWidth="1"/>
    <col min="11532" max="11534" width="9.75" style="120" customWidth="1"/>
    <col min="11535" max="11535" width="9.25" style="120" customWidth="1"/>
    <col min="11536" max="11777" width="9.125" style="120"/>
    <col min="11778" max="11778" width="27.75" style="120" bestFit="1" customWidth="1"/>
    <col min="11779" max="11779" width="17.375" style="120" bestFit="1" customWidth="1"/>
    <col min="11780" max="11786" width="9.75" style="120" customWidth="1"/>
    <col min="11787" max="11787" width="10.375" style="120" bestFit="1" customWidth="1"/>
    <col min="11788" max="11790" width="9.75" style="120" customWidth="1"/>
    <col min="11791" max="11791" width="9.25" style="120" customWidth="1"/>
    <col min="11792" max="12033" width="9.125" style="120"/>
    <col min="12034" max="12034" width="27.75" style="120" bestFit="1" customWidth="1"/>
    <col min="12035" max="12035" width="17.375" style="120" bestFit="1" customWidth="1"/>
    <col min="12036" max="12042" width="9.75" style="120" customWidth="1"/>
    <col min="12043" max="12043" width="10.375" style="120" bestFit="1" customWidth="1"/>
    <col min="12044" max="12046" width="9.75" style="120" customWidth="1"/>
    <col min="12047" max="12047" width="9.25" style="120" customWidth="1"/>
    <col min="12048" max="12289" width="9.125" style="120"/>
    <col min="12290" max="12290" width="27.75" style="120" bestFit="1" customWidth="1"/>
    <col min="12291" max="12291" width="17.375" style="120" bestFit="1" customWidth="1"/>
    <col min="12292" max="12298" width="9.75" style="120" customWidth="1"/>
    <col min="12299" max="12299" width="10.375" style="120" bestFit="1" customWidth="1"/>
    <col min="12300" max="12302" width="9.75" style="120" customWidth="1"/>
    <col min="12303" max="12303" width="9.25" style="120" customWidth="1"/>
    <col min="12304" max="12545" width="9.125" style="120"/>
    <col min="12546" max="12546" width="27.75" style="120" bestFit="1" customWidth="1"/>
    <col min="12547" max="12547" width="17.375" style="120" bestFit="1" customWidth="1"/>
    <col min="12548" max="12554" width="9.75" style="120" customWidth="1"/>
    <col min="12555" max="12555" width="10.375" style="120" bestFit="1" customWidth="1"/>
    <col min="12556" max="12558" width="9.75" style="120" customWidth="1"/>
    <col min="12559" max="12559" width="9.25" style="120" customWidth="1"/>
    <col min="12560" max="12801" width="9.125" style="120"/>
    <col min="12802" max="12802" width="27.75" style="120" bestFit="1" customWidth="1"/>
    <col min="12803" max="12803" width="17.375" style="120" bestFit="1" customWidth="1"/>
    <col min="12804" max="12810" width="9.75" style="120" customWidth="1"/>
    <col min="12811" max="12811" width="10.375" style="120" bestFit="1" customWidth="1"/>
    <col min="12812" max="12814" width="9.75" style="120" customWidth="1"/>
    <col min="12815" max="12815" width="9.25" style="120" customWidth="1"/>
    <col min="12816" max="13057" width="9.125" style="120"/>
    <col min="13058" max="13058" width="27.75" style="120" bestFit="1" customWidth="1"/>
    <col min="13059" max="13059" width="17.375" style="120" bestFit="1" customWidth="1"/>
    <col min="13060" max="13066" width="9.75" style="120" customWidth="1"/>
    <col min="13067" max="13067" width="10.375" style="120" bestFit="1" customWidth="1"/>
    <col min="13068" max="13070" width="9.75" style="120" customWidth="1"/>
    <col min="13071" max="13071" width="9.25" style="120" customWidth="1"/>
    <col min="13072" max="13313" width="9.125" style="120"/>
    <col min="13314" max="13314" width="27.75" style="120" bestFit="1" customWidth="1"/>
    <col min="13315" max="13315" width="17.375" style="120" bestFit="1" customWidth="1"/>
    <col min="13316" max="13322" width="9.75" style="120" customWidth="1"/>
    <col min="13323" max="13323" width="10.375" style="120" bestFit="1" customWidth="1"/>
    <col min="13324" max="13326" width="9.75" style="120" customWidth="1"/>
    <col min="13327" max="13327" width="9.25" style="120" customWidth="1"/>
    <col min="13328" max="13569" width="9.125" style="120"/>
    <col min="13570" max="13570" width="27.75" style="120" bestFit="1" customWidth="1"/>
    <col min="13571" max="13571" width="17.375" style="120" bestFit="1" customWidth="1"/>
    <col min="13572" max="13578" width="9.75" style="120" customWidth="1"/>
    <col min="13579" max="13579" width="10.375" style="120" bestFit="1" customWidth="1"/>
    <col min="13580" max="13582" width="9.75" style="120" customWidth="1"/>
    <col min="13583" max="13583" width="9.25" style="120" customWidth="1"/>
    <col min="13584" max="13825" width="9.125" style="120"/>
    <col min="13826" max="13826" width="27.75" style="120" bestFit="1" customWidth="1"/>
    <col min="13827" max="13827" width="17.375" style="120" bestFit="1" customWidth="1"/>
    <col min="13828" max="13834" width="9.75" style="120" customWidth="1"/>
    <col min="13835" max="13835" width="10.375" style="120" bestFit="1" customWidth="1"/>
    <col min="13836" max="13838" width="9.75" style="120" customWidth="1"/>
    <col min="13839" max="13839" width="9.25" style="120" customWidth="1"/>
    <col min="13840" max="14081" width="9.125" style="120"/>
    <col min="14082" max="14082" width="27.75" style="120" bestFit="1" customWidth="1"/>
    <col min="14083" max="14083" width="17.375" style="120" bestFit="1" customWidth="1"/>
    <col min="14084" max="14090" width="9.75" style="120" customWidth="1"/>
    <col min="14091" max="14091" width="10.375" style="120" bestFit="1" customWidth="1"/>
    <col min="14092" max="14094" width="9.75" style="120" customWidth="1"/>
    <col min="14095" max="14095" width="9.25" style="120" customWidth="1"/>
    <col min="14096" max="14337" width="9.125" style="120"/>
    <col min="14338" max="14338" width="27.75" style="120" bestFit="1" customWidth="1"/>
    <col min="14339" max="14339" width="17.375" style="120" bestFit="1" customWidth="1"/>
    <col min="14340" max="14346" width="9.75" style="120" customWidth="1"/>
    <col min="14347" max="14347" width="10.375" style="120" bestFit="1" customWidth="1"/>
    <col min="14348" max="14350" width="9.75" style="120" customWidth="1"/>
    <col min="14351" max="14351" width="9.25" style="120" customWidth="1"/>
    <col min="14352" max="14593" width="9.125" style="120"/>
    <col min="14594" max="14594" width="27.75" style="120" bestFit="1" customWidth="1"/>
    <col min="14595" max="14595" width="17.375" style="120" bestFit="1" customWidth="1"/>
    <col min="14596" max="14602" width="9.75" style="120" customWidth="1"/>
    <col min="14603" max="14603" width="10.375" style="120" bestFit="1" customWidth="1"/>
    <col min="14604" max="14606" width="9.75" style="120" customWidth="1"/>
    <col min="14607" max="14607" width="9.25" style="120" customWidth="1"/>
    <col min="14608" max="14849" width="9.125" style="120"/>
    <col min="14850" max="14850" width="27.75" style="120" bestFit="1" customWidth="1"/>
    <col min="14851" max="14851" width="17.375" style="120" bestFit="1" customWidth="1"/>
    <col min="14852" max="14858" width="9.75" style="120" customWidth="1"/>
    <col min="14859" max="14859" width="10.375" style="120" bestFit="1" customWidth="1"/>
    <col min="14860" max="14862" width="9.75" style="120" customWidth="1"/>
    <col min="14863" max="14863" width="9.25" style="120" customWidth="1"/>
    <col min="14864" max="15105" width="9.125" style="120"/>
    <col min="15106" max="15106" width="27.75" style="120" bestFit="1" customWidth="1"/>
    <col min="15107" max="15107" width="17.375" style="120" bestFit="1" customWidth="1"/>
    <col min="15108" max="15114" width="9.75" style="120" customWidth="1"/>
    <col min="15115" max="15115" width="10.375" style="120" bestFit="1" customWidth="1"/>
    <col min="15116" max="15118" width="9.75" style="120" customWidth="1"/>
    <col min="15119" max="15119" width="9.25" style="120" customWidth="1"/>
    <col min="15120" max="15361" width="9.125" style="120"/>
    <col min="15362" max="15362" width="27.75" style="120" bestFit="1" customWidth="1"/>
    <col min="15363" max="15363" width="17.375" style="120" bestFit="1" customWidth="1"/>
    <col min="15364" max="15370" width="9.75" style="120" customWidth="1"/>
    <col min="15371" max="15371" width="10.375" style="120" bestFit="1" customWidth="1"/>
    <col min="15372" max="15374" width="9.75" style="120" customWidth="1"/>
    <col min="15375" max="15375" width="9.25" style="120" customWidth="1"/>
    <col min="15376" max="15617" width="9.125" style="120"/>
    <col min="15618" max="15618" width="27.75" style="120" bestFit="1" customWidth="1"/>
    <col min="15619" max="15619" width="17.375" style="120" bestFit="1" customWidth="1"/>
    <col min="15620" max="15626" width="9.75" style="120" customWidth="1"/>
    <col min="15627" max="15627" width="10.375" style="120" bestFit="1" customWidth="1"/>
    <col min="15628" max="15630" width="9.75" style="120" customWidth="1"/>
    <col min="15631" max="15631" width="9.25" style="120" customWidth="1"/>
    <col min="15632" max="15873" width="9.125" style="120"/>
    <col min="15874" max="15874" width="27.75" style="120" bestFit="1" customWidth="1"/>
    <col min="15875" max="15875" width="17.375" style="120" bestFit="1" customWidth="1"/>
    <col min="15876" max="15882" width="9.75" style="120" customWidth="1"/>
    <col min="15883" max="15883" width="10.375" style="120" bestFit="1" customWidth="1"/>
    <col min="15884" max="15886" width="9.75" style="120" customWidth="1"/>
    <col min="15887" max="15887" width="9.25" style="120" customWidth="1"/>
    <col min="15888" max="16129" width="9.125" style="120"/>
    <col min="16130" max="16130" width="27.75" style="120" bestFit="1" customWidth="1"/>
    <col min="16131" max="16131" width="17.375" style="120" bestFit="1" customWidth="1"/>
    <col min="16132" max="16138" width="9.75" style="120" customWidth="1"/>
    <col min="16139" max="16139" width="10.375" style="120" bestFit="1" customWidth="1"/>
    <col min="16140" max="16142" width="9.75" style="120" customWidth="1"/>
    <col min="16143" max="16143" width="9.25" style="120" customWidth="1"/>
    <col min="16144" max="16384" width="9.125" style="120"/>
  </cols>
  <sheetData>
    <row r="2" spans="2:17" x14ac:dyDescent="0.35">
      <c r="B2" s="604" t="s">
        <v>342</v>
      </c>
      <c r="C2" s="604"/>
      <c r="D2" s="604"/>
      <c r="E2" s="604"/>
    </row>
    <row r="3" spans="2:17" x14ac:dyDescent="0.35">
      <c r="B3" s="557"/>
      <c r="C3" s="118"/>
    </row>
    <row r="4" spans="2:17" x14ac:dyDescent="0.35">
      <c r="B4" s="558" t="s">
        <v>7</v>
      </c>
      <c r="C4" s="559" t="s">
        <v>8</v>
      </c>
      <c r="E4" s="605" t="s">
        <v>343</v>
      </c>
      <c r="F4" s="605"/>
      <c r="G4" s="605"/>
    </row>
    <row r="5" spans="2:17" x14ac:dyDescent="0.35">
      <c r="B5" s="294" t="str">
        <f>IF(ISBLANK(Directions!C6), "Owner", Directions!C6)</f>
        <v>Owner</v>
      </c>
      <c r="C5" s="560" t="str">
        <f>IF(ISBLANK(Directions!D6), "Company 1", Directions!D6)</f>
        <v>Company 1</v>
      </c>
      <c r="E5" s="605"/>
      <c r="F5" s="605"/>
      <c r="G5" s="605"/>
    </row>
    <row r="6" spans="2:17" x14ac:dyDescent="0.35">
      <c r="E6" s="605"/>
      <c r="F6" s="605"/>
      <c r="G6" s="605"/>
    </row>
    <row r="8" spans="2:17" ht="16.5" thickBot="1" x14ac:dyDescent="0.4">
      <c r="B8" s="296" t="s">
        <v>45</v>
      </c>
      <c r="C8" s="296"/>
      <c r="D8" s="400"/>
      <c r="E8" s="400"/>
      <c r="F8" s="400"/>
      <c r="G8" s="400"/>
      <c r="H8" s="400"/>
      <c r="I8" s="400"/>
      <c r="J8" s="400"/>
      <c r="K8" s="400"/>
      <c r="L8" s="400"/>
      <c r="M8" s="400"/>
      <c r="N8" s="400"/>
      <c r="O8" s="400"/>
      <c r="P8" s="400"/>
    </row>
    <row r="9" spans="2:17" ht="16.5" thickTop="1" x14ac:dyDescent="0.35">
      <c r="B9" s="606" t="s">
        <v>344</v>
      </c>
      <c r="C9" s="607">
        <f>CommLoan</f>
        <v>0</v>
      </c>
      <c r="D9" s="400"/>
      <c r="E9" s="400"/>
      <c r="F9" s="400"/>
      <c r="G9" s="400"/>
      <c r="H9" s="400"/>
      <c r="I9" s="400"/>
      <c r="J9" s="400"/>
      <c r="K9" s="400"/>
      <c r="L9" s="400"/>
      <c r="M9" s="400"/>
      <c r="N9" s="400"/>
      <c r="O9" s="400"/>
      <c r="P9" s="400"/>
    </row>
    <row r="10" spans="2:17" x14ac:dyDescent="0.35">
      <c r="B10" s="608" t="s">
        <v>345</v>
      </c>
      <c r="C10" s="609">
        <f>'1-StartingPoint'!E37</f>
        <v>0.09</v>
      </c>
      <c r="D10" s="400"/>
      <c r="E10" s="400"/>
      <c r="F10" s="400"/>
      <c r="G10" s="400"/>
      <c r="H10" s="400"/>
      <c r="I10" s="400"/>
      <c r="J10" s="400"/>
      <c r="K10" s="400"/>
      <c r="L10" s="400"/>
      <c r="M10" s="400"/>
      <c r="N10" s="400"/>
      <c r="O10" s="400"/>
      <c r="P10" s="400"/>
    </row>
    <row r="11" spans="2:17" x14ac:dyDescent="0.35">
      <c r="B11" s="608" t="s">
        <v>346</v>
      </c>
      <c r="C11" s="610">
        <f>'1-StartingPoint'!F37</f>
        <v>84</v>
      </c>
      <c r="D11" s="400"/>
      <c r="E11" s="400"/>
      <c r="F11" s="400"/>
      <c r="G11" s="400"/>
      <c r="H11" s="400"/>
      <c r="I11" s="400"/>
      <c r="J11" s="400"/>
      <c r="K11" s="400"/>
      <c r="L11" s="400"/>
      <c r="M11" s="400"/>
      <c r="N11" s="400"/>
      <c r="O11" s="400"/>
      <c r="P11" s="400"/>
    </row>
    <row r="12" spans="2:17" x14ac:dyDescent="0.35">
      <c r="B12" s="608" t="s">
        <v>347</v>
      </c>
      <c r="C12" s="611">
        <f>ABS(PMT(C10/12,C11,C9))</f>
        <v>0</v>
      </c>
      <c r="D12" s="400"/>
      <c r="E12" s="400"/>
      <c r="F12" s="400"/>
      <c r="G12" s="400"/>
      <c r="H12" s="400"/>
      <c r="I12" s="400"/>
      <c r="J12" s="400"/>
      <c r="K12" s="400"/>
      <c r="L12" s="400"/>
      <c r="M12" s="400"/>
      <c r="N12" s="400"/>
      <c r="O12" s="400"/>
      <c r="P12" s="400"/>
    </row>
    <row r="13" spans="2:17" x14ac:dyDescent="0.35">
      <c r="B13" s="145"/>
      <c r="C13" s="612" t="str">
        <f>'3a-SalesForecastYear1'!$C$16</f>
        <v>Month 1</v>
      </c>
      <c r="D13" s="612" t="str">
        <f>'3a-SalesForecastYear1'!$D$16</f>
        <v>Month 2</v>
      </c>
      <c r="E13" s="612" t="str">
        <f>'3a-SalesForecastYear1'!$E$16</f>
        <v>Month 3</v>
      </c>
      <c r="F13" s="612" t="str">
        <f>'3a-SalesForecastYear1'!$F$16</f>
        <v>Month 4</v>
      </c>
      <c r="G13" s="612" t="str">
        <f>'3a-SalesForecastYear1'!$G$16</f>
        <v>Month 5</v>
      </c>
      <c r="H13" s="612" t="str">
        <f>'3a-SalesForecastYear1'!$H$16</f>
        <v>Month 6</v>
      </c>
      <c r="I13" s="612" t="str">
        <f>'3a-SalesForecastYear1'!$I$16</f>
        <v>Month 7</v>
      </c>
      <c r="J13" s="612" t="str">
        <f>'3a-SalesForecastYear1'!$J$16</f>
        <v>Month 8</v>
      </c>
      <c r="K13" s="612" t="str">
        <f>'3a-SalesForecastYear1'!$K$16</f>
        <v>Month 9</v>
      </c>
      <c r="L13" s="612" t="str">
        <f>'3a-SalesForecastYear1'!$L$16</f>
        <v>Month 10</v>
      </c>
      <c r="M13" s="612" t="str">
        <f>'3a-SalesForecastYear1'!$M$16</f>
        <v>Month 11</v>
      </c>
      <c r="N13" s="612" t="str">
        <f>'3a-SalesForecastYear1'!$N$16</f>
        <v>Month 12</v>
      </c>
      <c r="O13" s="612" t="s">
        <v>38</v>
      </c>
      <c r="P13" s="126"/>
      <c r="Q13" s="126"/>
    </row>
    <row r="14" spans="2:17" x14ac:dyDescent="0.35">
      <c r="B14" s="145" t="s">
        <v>269</v>
      </c>
      <c r="C14" s="138"/>
      <c r="D14" s="138"/>
      <c r="E14" s="138"/>
      <c r="F14" s="138"/>
      <c r="G14" s="138"/>
      <c r="H14" s="138"/>
      <c r="I14" s="138"/>
      <c r="J14" s="138"/>
      <c r="K14" s="138"/>
      <c r="L14" s="138"/>
      <c r="M14" s="138"/>
      <c r="N14" s="138"/>
      <c r="O14" s="138"/>
      <c r="P14" s="126"/>
      <c r="Q14" s="126"/>
    </row>
    <row r="15" spans="2:17" x14ac:dyDescent="0.35">
      <c r="B15" s="567" t="s">
        <v>160</v>
      </c>
      <c r="C15" s="442">
        <f>IF($C$11&lt;1,0,ABS(IPMT($C$10/12,1,$C$11,$C$9)))</f>
        <v>0</v>
      </c>
      <c r="D15" s="442">
        <f>IF($C$11&lt;2,0,ABS(IPMT($C$10/12,2,$C$11,$C$9)))</f>
        <v>0</v>
      </c>
      <c r="E15" s="442">
        <f>IF($C$11&lt;3,0,ABS(IPMT($C$10/12,3,$C$11,$C$9)))</f>
        <v>0</v>
      </c>
      <c r="F15" s="442">
        <f>IF($C$11&lt;4,0,ABS(IPMT($C$10/12,4,$C$11,$C$9)))</f>
        <v>0</v>
      </c>
      <c r="G15" s="442">
        <f>IF($C$11&lt;5,0,ABS(IPMT($C$10/12,5,$C$11,$C$9)))</f>
        <v>0</v>
      </c>
      <c r="H15" s="442">
        <f>IF($C$11&lt;6,0,ABS(IPMT($C$10/12,6,$C$11,$C$9)))</f>
        <v>0</v>
      </c>
      <c r="I15" s="442">
        <f>IF($C$11&lt;7,0,ABS(IPMT($C$10/12,7,$C$11,$C$9)))</f>
        <v>0</v>
      </c>
      <c r="J15" s="442">
        <f>IF($C$11&lt;8,0,ABS(IPMT($C$10/12,8,$C$11,$C$9)))</f>
        <v>0</v>
      </c>
      <c r="K15" s="442">
        <f>IF($C$11&lt;9,0,ABS(IPMT($C$10/12,9,$C$11,$C$9)))</f>
        <v>0</v>
      </c>
      <c r="L15" s="442">
        <f>IF($C$11&lt;10,0,ABS(IPMT($C$10/12,10,$C$11,$C$9)))</f>
        <v>0</v>
      </c>
      <c r="M15" s="442">
        <f>IF($C$11&lt;11,0,ABS(IPMT($C$10/12,11,$C$11,$C$9)))</f>
        <v>0</v>
      </c>
      <c r="N15" s="442">
        <f>IF($C$11&lt;12,0,ABS(IPMT($C$10/12,12,$C$11,$C$9)))</f>
        <v>0</v>
      </c>
      <c r="O15" s="613">
        <f>SUM(C15:N15)</f>
        <v>0</v>
      </c>
      <c r="P15" s="126"/>
      <c r="Q15" s="126"/>
    </row>
    <row r="16" spans="2:17" x14ac:dyDescent="0.35">
      <c r="B16" s="567" t="s">
        <v>348</v>
      </c>
      <c r="C16" s="442">
        <f>IF($C$11&lt;1,0,ABS(PPMT($C$10/12,1,$C$11,$C$9)))</f>
        <v>0</v>
      </c>
      <c r="D16" s="442">
        <f>IF($C$11&lt;2,0,ABS(PPMT($C$10/12,2,$C$11,$C$9)))</f>
        <v>0</v>
      </c>
      <c r="E16" s="442">
        <f>IF($C$11&lt;3,0,ABS(PPMT($C$10/12,3,$C$11,$C$9)))</f>
        <v>0</v>
      </c>
      <c r="F16" s="442">
        <f>IF($C$11&lt;4,0,ABS(PPMT($C$10/12,4,$C$11,$C$9)))</f>
        <v>0</v>
      </c>
      <c r="G16" s="442">
        <f>IF($C$11&lt;5,0,ABS(PPMT($C$10/12,5,$C$11,$C$9)))</f>
        <v>0</v>
      </c>
      <c r="H16" s="442">
        <f>IF($C$11&lt;6,0,ABS(PPMT($C$10/12,6,$C$11,$C$9)))</f>
        <v>0</v>
      </c>
      <c r="I16" s="442">
        <f>IF($C$11&lt;7,0,ABS(PPMT($C$10/12,7,$C$11,$C$9)))</f>
        <v>0</v>
      </c>
      <c r="J16" s="442">
        <f>IF($C$11&lt;8,0,ABS(PPMT($C$10/12,8,$C$11,$C$9)))</f>
        <v>0</v>
      </c>
      <c r="K16" s="442">
        <f>IF($C$11&lt;9,0,ABS(PPMT($C$10/12,9,$C$11,$C$9)))</f>
        <v>0</v>
      </c>
      <c r="L16" s="442">
        <f>IF($C$11&lt;10,0,ABS(PPMT($C$10/12,10,$C$11,$C$9)))</f>
        <v>0</v>
      </c>
      <c r="M16" s="442">
        <f>IF($C$11&lt;11,0,ABS(PPMT($C$10/12,11,$C$11,$C$9)))</f>
        <v>0</v>
      </c>
      <c r="N16" s="442">
        <f>IF($C$11&lt;12,0,ABS(PPMT($C$10/12,12,$C$11,$C$9)))</f>
        <v>0</v>
      </c>
      <c r="O16" s="613">
        <f>SUM(C16:N16)</f>
        <v>0</v>
      </c>
      <c r="P16" s="126"/>
      <c r="Q16" s="126"/>
    </row>
    <row r="17" spans="2:17" x14ac:dyDescent="0.35">
      <c r="B17" s="567" t="s">
        <v>349</v>
      </c>
      <c r="C17" s="614">
        <f>$C$9-C16</f>
        <v>0</v>
      </c>
      <c r="D17" s="614">
        <f>C17-D16</f>
        <v>0</v>
      </c>
      <c r="E17" s="614">
        <f t="shared" ref="E17:N17" si="0">D17-E16</f>
        <v>0</v>
      </c>
      <c r="F17" s="614">
        <f t="shared" si="0"/>
        <v>0</v>
      </c>
      <c r="G17" s="614">
        <f t="shared" si="0"/>
        <v>0</v>
      </c>
      <c r="H17" s="614">
        <f t="shared" si="0"/>
        <v>0</v>
      </c>
      <c r="I17" s="614">
        <f t="shared" si="0"/>
        <v>0</v>
      </c>
      <c r="J17" s="614">
        <f t="shared" si="0"/>
        <v>0</v>
      </c>
      <c r="K17" s="614">
        <f t="shared" si="0"/>
        <v>0</v>
      </c>
      <c r="L17" s="614">
        <f t="shared" si="0"/>
        <v>0</v>
      </c>
      <c r="M17" s="614">
        <f t="shared" si="0"/>
        <v>0</v>
      </c>
      <c r="N17" s="614">
        <f t="shared" si="0"/>
        <v>0</v>
      </c>
      <c r="O17" s="615"/>
      <c r="P17" s="126"/>
      <c r="Q17" s="126"/>
    </row>
    <row r="18" spans="2:17" x14ac:dyDescent="0.35">
      <c r="B18" s="145" t="s">
        <v>270</v>
      </c>
      <c r="C18" s="616"/>
      <c r="D18" s="616"/>
      <c r="E18" s="616"/>
      <c r="F18" s="616"/>
      <c r="G18" s="616"/>
      <c r="H18" s="616"/>
      <c r="I18" s="616"/>
      <c r="J18" s="616"/>
      <c r="K18" s="616"/>
      <c r="L18" s="616"/>
      <c r="M18" s="616"/>
      <c r="N18" s="616"/>
      <c r="O18" s="616"/>
      <c r="P18" s="126"/>
      <c r="Q18" s="126"/>
    </row>
    <row r="19" spans="2:17" x14ac:dyDescent="0.35">
      <c r="B19" s="567" t="s">
        <v>160</v>
      </c>
      <c r="C19" s="442">
        <f>IF($C$11&lt;13,0,ABS(IPMT($C$10/12,13,$C$11,$C$9)))</f>
        <v>0</v>
      </c>
      <c r="D19" s="442">
        <f>IF($C$11&lt;14,0,ABS(IPMT($C$10/12,14,$C$11,$C$9)))</f>
        <v>0</v>
      </c>
      <c r="E19" s="442">
        <f>IF($C$11&lt;15,0,ABS(IPMT($C$10/12,15,$C$11,$C$9)))</f>
        <v>0</v>
      </c>
      <c r="F19" s="442">
        <f>IF($C$11&lt;16,0,ABS(IPMT($C$10/12,16,$C$11,$C$9)))</f>
        <v>0</v>
      </c>
      <c r="G19" s="442">
        <f>IF($C$11&lt;17,0,ABS(IPMT($C$10/12,17,$C$11,$C$9)))</f>
        <v>0</v>
      </c>
      <c r="H19" s="442">
        <f>IF($C$11&lt;18,0,ABS(IPMT($C$10/12,18,$C$11,$C$9)))</f>
        <v>0</v>
      </c>
      <c r="I19" s="442">
        <f>IF($C$11&lt;19,0,ABS(IPMT($C$10/12,19,$C$11,$C$9)))</f>
        <v>0</v>
      </c>
      <c r="J19" s="442">
        <f>IF($C$11&lt;20,0,ABS(IPMT($C$10/12,20,$C$11,$C$9)))</f>
        <v>0</v>
      </c>
      <c r="K19" s="442">
        <f>IF($C$11&lt;21,0,ABS(IPMT($C$10/12,21,$C$11,$C$9)))</f>
        <v>0</v>
      </c>
      <c r="L19" s="442">
        <f>IF($C$11&lt;22,0,ABS(IPMT($C$10/12,22,$C$11,$C$9)))</f>
        <v>0</v>
      </c>
      <c r="M19" s="442">
        <f>IF($C$11&lt;23,0,ABS(IPMT($C$10/12,23,$C$11,$C$9)))</f>
        <v>0</v>
      </c>
      <c r="N19" s="442">
        <f>IF($C$11&lt;24,0,ABS(IPMT($C$10/12,24,$C$11,$C$9)))</f>
        <v>0</v>
      </c>
      <c r="O19" s="613">
        <f>SUM(C19:N19)</f>
        <v>0</v>
      </c>
      <c r="P19" s="126"/>
      <c r="Q19" s="126"/>
    </row>
    <row r="20" spans="2:17" x14ac:dyDescent="0.35">
      <c r="B20" s="567" t="s">
        <v>348</v>
      </c>
      <c r="C20" s="442">
        <f>IF($C$11&lt;13,0,ABS(PPMT($C$10/12,13,$C$11,$C$9)))</f>
        <v>0</v>
      </c>
      <c r="D20" s="442">
        <f>IF($C$11&lt;14,0,ABS(PPMT($C$10/12,14,$C$11,$C$9)))</f>
        <v>0</v>
      </c>
      <c r="E20" s="442">
        <f>IF($C$11&lt;15,0,ABS(PPMT($C$10/12,15,$C$11,$C$9)))</f>
        <v>0</v>
      </c>
      <c r="F20" s="442">
        <f>IF($C$11&lt;16,0,ABS(PPMT($C$10/12,16,$C$11,$C$9)))</f>
        <v>0</v>
      </c>
      <c r="G20" s="442">
        <f>IF($C$11&lt;17,0,ABS(PPMT($C$10/12,17,$C$11,$C$9)))</f>
        <v>0</v>
      </c>
      <c r="H20" s="442">
        <f>IF($C$11&lt;18,0,ABS(PPMT($C$10/12,18,$C$11,$C$9)))</f>
        <v>0</v>
      </c>
      <c r="I20" s="442">
        <f>IF($C$11&lt;19,0,ABS(PPMT($C$10/12,19,$C$11,$C$9)))</f>
        <v>0</v>
      </c>
      <c r="J20" s="442">
        <f>IF($C$11&lt;20,0,ABS(PPMT($C$10/12,20,$C$11,$C$9)))</f>
        <v>0</v>
      </c>
      <c r="K20" s="442">
        <f>IF($C$11&lt;21,0,ABS(PPMT($C$10/12,21,$C$11,$C$9)))</f>
        <v>0</v>
      </c>
      <c r="L20" s="442">
        <f>IF($C$11&lt;22,0,ABS(PPMT($C$10/12,22,$C$11,$C$9)))</f>
        <v>0</v>
      </c>
      <c r="M20" s="442">
        <f>IF($C$11&lt;23,0,ABS(PPMT($C$10/12,23,$C$11,$C$9)))</f>
        <v>0</v>
      </c>
      <c r="N20" s="442">
        <f>IF($C$11&lt;24,0,ABS(PPMT($C$10/12,24,$C$11,$C$9)))</f>
        <v>0</v>
      </c>
      <c r="O20" s="613">
        <f>SUM(C20:N20)</f>
        <v>0</v>
      </c>
      <c r="P20" s="126"/>
      <c r="Q20" s="126"/>
    </row>
    <row r="21" spans="2:17" x14ac:dyDescent="0.35">
      <c r="B21" s="567" t="s">
        <v>349</v>
      </c>
      <c r="C21" s="614">
        <f>N17-C20</f>
        <v>0</v>
      </c>
      <c r="D21" s="614">
        <f>C21-D20</f>
        <v>0</v>
      </c>
      <c r="E21" s="614">
        <f t="shared" ref="E21:N21" si="1">D21-E20</f>
        <v>0</v>
      </c>
      <c r="F21" s="614">
        <f t="shared" si="1"/>
        <v>0</v>
      </c>
      <c r="G21" s="614">
        <f t="shared" si="1"/>
        <v>0</v>
      </c>
      <c r="H21" s="614">
        <f t="shared" si="1"/>
        <v>0</v>
      </c>
      <c r="I21" s="614">
        <f t="shared" si="1"/>
        <v>0</v>
      </c>
      <c r="J21" s="614">
        <f t="shared" si="1"/>
        <v>0</v>
      </c>
      <c r="K21" s="614">
        <f t="shared" si="1"/>
        <v>0</v>
      </c>
      <c r="L21" s="614">
        <f t="shared" si="1"/>
        <v>0</v>
      </c>
      <c r="M21" s="614">
        <f t="shared" si="1"/>
        <v>0</v>
      </c>
      <c r="N21" s="614">
        <f t="shared" si="1"/>
        <v>0</v>
      </c>
      <c r="O21" s="615"/>
      <c r="P21" s="126"/>
      <c r="Q21" s="126"/>
    </row>
    <row r="22" spans="2:17" x14ac:dyDescent="0.35">
      <c r="B22" s="145" t="s">
        <v>271</v>
      </c>
      <c r="C22" s="616"/>
      <c r="D22" s="616"/>
      <c r="E22" s="616"/>
      <c r="F22" s="616"/>
      <c r="G22" s="616"/>
      <c r="H22" s="616"/>
      <c r="I22" s="616"/>
      <c r="J22" s="616"/>
      <c r="K22" s="616"/>
      <c r="L22" s="616"/>
      <c r="M22" s="616"/>
      <c r="N22" s="616"/>
      <c r="O22" s="616"/>
      <c r="P22" s="126"/>
      <c r="Q22" s="126"/>
    </row>
    <row r="23" spans="2:17" x14ac:dyDescent="0.35">
      <c r="B23" s="567" t="s">
        <v>160</v>
      </c>
      <c r="C23" s="442">
        <f>IF($C$11&lt;25,0,ABS(IPMT($C$10/12,25,$C$11,$C$9)))</f>
        <v>0</v>
      </c>
      <c r="D23" s="442">
        <f>IF($C$11&lt;26,0,ABS(IPMT($C$10/12,26,$C$11,$C$9)))</f>
        <v>0</v>
      </c>
      <c r="E23" s="442">
        <f>IF($C$11&lt;27,0,ABS(IPMT($C$10/12,27,$C$11,$C$9)))</f>
        <v>0</v>
      </c>
      <c r="F23" s="442">
        <f>IF($C$11&lt;28,0,ABS(IPMT($C$10/12,28,$C$11,$C$9)))</f>
        <v>0</v>
      </c>
      <c r="G23" s="442">
        <f>IF($C$11&lt;29,0,ABS(IPMT($C$10/12,29,$C$11,$C$9)))</f>
        <v>0</v>
      </c>
      <c r="H23" s="442">
        <f>IF($C$11&lt;30,0,ABS(IPMT($C$10/12,30,$C$11,$C$9)))</f>
        <v>0</v>
      </c>
      <c r="I23" s="442">
        <f>IF($C$11&lt;31,0,ABS(IPMT($C$10/12,31,$C$11,$C$9)))</f>
        <v>0</v>
      </c>
      <c r="J23" s="442">
        <f>IF($C$11&lt;32,0,ABS(IPMT($C$10/12,32,$C$11,$C$9)))</f>
        <v>0</v>
      </c>
      <c r="K23" s="442">
        <f>IF($C$11&lt;33,0,ABS(IPMT($C$10/12,33,$C$11,$C$9)))</f>
        <v>0</v>
      </c>
      <c r="L23" s="442">
        <f>IF($C$11&lt;34,0,ABS(IPMT($C$10/12,34,$C$11,$C$9)))</f>
        <v>0</v>
      </c>
      <c r="M23" s="442">
        <f>IF($C$11&lt;35,0,ABS(IPMT($C$10/12,35,$C$11,$C$9)))</f>
        <v>0</v>
      </c>
      <c r="N23" s="442">
        <f>IF($C$11&lt;36,0,ABS(IPMT($C$10/12,36,$C$11,$C$9)))</f>
        <v>0</v>
      </c>
      <c r="O23" s="613">
        <f>SUM(C23:N23)</f>
        <v>0</v>
      </c>
      <c r="P23" s="126"/>
      <c r="Q23" s="126"/>
    </row>
    <row r="24" spans="2:17" x14ac:dyDescent="0.35">
      <c r="B24" s="567" t="s">
        <v>348</v>
      </c>
      <c r="C24" s="442">
        <f>IF($C$11&lt;25,0,ABS(PPMT($C$10/12,25,$C$11,$C$9)))</f>
        <v>0</v>
      </c>
      <c r="D24" s="442">
        <f>IF($C$11&lt;26,0,ABS(PPMT($C$10/12,26,$C$11,$C$9)))</f>
        <v>0</v>
      </c>
      <c r="E24" s="442">
        <f>IF($C$11&lt;27,0,ABS(PPMT($C$10/12,27,$C$11,$C$9)))</f>
        <v>0</v>
      </c>
      <c r="F24" s="442">
        <f>IF($C$11&lt;28,0,ABS(PPMT($C$10/12,28,$C$11,$C$9)))</f>
        <v>0</v>
      </c>
      <c r="G24" s="442">
        <f>IF($C$11&lt;29,0,ABS(PPMT($C$10/12,29,$C$11,$C$9)))</f>
        <v>0</v>
      </c>
      <c r="H24" s="442">
        <f>IF($C$11&lt;30,0,ABS(PPMT($C$10/12,30,$C$11,$C$9)))</f>
        <v>0</v>
      </c>
      <c r="I24" s="442">
        <f>IF($C$11&lt;31,0,ABS(PPMT($C$10/12,31,$C$11,$C$9)))</f>
        <v>0</v>
      </c>
      <c r="J24" s="442">
        <f>IF($C$11&lt;32,0,ABS(PPMT($C$10/12,32,$C$11,$C$9)))</f>
        <v>0</v>
      </c>
      <c r="K24" s="442">
        <f>IF($C$11&lt;33,0,ABS(PPMT($C$10/12,33,$C$11,$C$9)))</f>
        <v>0</v>
      </c>
      <c r="L24" s="442">
        <f>IF($C$11&lt;34,0,ABS(PPMT($C$10/12,34,$C$11,$C$9)))</f>
        <v>0</v>
      </c>
      <c r="M24" s="442">
        <f>IF($C$11&lt;35,0,ABS(PPMT($C$10/12,35,$C$11,$C$9)))</f>
        <v>0</v>
      </c>
      <c r="N24" s="442">
        <f>IF($C$11&lt;36,0,ABS(PPMT($C$10/12,36,$C$11,$C$9)))</f>
        <v>0</v>
      </c>
      <c r="O24" s="613">
        <f>SUM(C24:N24)</f>
        <v>0</v>
      </c>
      <c r="P24" s="126"/>
      <c r="Q24" s="126"/>
    </row>
    <row r="25" spans="2:17" x14ac:dyDescent="0.35">
      <c r="B25" s="567" t="s">
        <v>349</v>
      </c>
      <c r="C25" s="614">
        <f>N21-C24</f>
        <v>0</v>
      </c>
      <c r="D25" s="614">
        <f>C25-D24</f>
        <v>0</v>
      </c>
      <c r="E25" s="614">
        <f t="shared" ref="E25:N25" si="2">D25-E24</f>
        <v>0</v>
      </c>
      <c r="F25" s="614">
        <f t="shared" si="2"/>
        <v>0</v>
      </c>
      <c r="G25" s="614">
        <f t="shared" si="2"/>
        <v>0</v>
      </c>
      <c r="H25" s="614">
        <f t="shared" si="2"/>
        <v>0</v>
      </c>
      <c r="I25" s="614">
        <f t="shared" si="2"/>
        <v>0</v>
      </c>
      <c r="J25" s="614">
        <f t="shared" si="2"/>
        <v>0</v>
      </c>
      <c r="K25" s="614">
        <f t="shared" si="2"/>
        <v>0</v>
      </c>
      <c r="L25" s="614">
        <f t="shared" si="2"/>
        <v>0</v>
      </c>
      <c r="M25" s="614">
        <f t="shared" si="2"/>
        <v>0</v>
      </c>
      <c r="N25" s="614">
        <f t="shared" si="2"/>
        <v>0</v>
      </c>
      <c r="O25" s="615"/>
      <c r="P25" s="126"/>
      <c r="Q25" s="126"/>
    </row>
    <row r="26" spans="2:17" x14ac:dyDescent="0.35">
      <c r="B26" s="117"/>
      <c r="C26" s="117"/>
      <c r="D26" s="126"/>
      <c r="E26" s="126"/>
      <c r="F26" s="126"/>
      <c r="G26" s="126"/>
      <c r="H26" s="126"/>
      <c r="I26" s="126"/>
      <c r="J26" s="126"/>
      <c r="K26" s="126"/>
      <c r="L26" s="126"/>
      <c r="M26" s="126"/>
      <c r="N26" s="126"/>
      <c r="O26" s="126"/>
      <c r="P26" s="126"/>
      <c r="Q26" s="126"/>
    </row>
    <row r="27" spans="2:17" x14ac:dyDescent="0.35">
      <c r="B27" s="117"/>
      <c r="C27" s="117"/>
      <c r="D27" s="617"/>
      <c r="E27" s="126"/>
      <c r="F27" s="126"/>
      <c r="G27" s="126"/>
      <c r="H27" s="126"/>
      <c r="I27" s="126"/>
      <c r="J27" s="126"/>
      <c r="K27" s="126"/>
      <c r="L27" s="126"/>
      <c r="M27" s="126"/>
      <c r="N27" s="126"/>
      <c r="O27" s="126"/>
      <c r="P27" s="126"/>
      <c r="Q27" s="126"/>
    </row>
    <row r="28" spans="2:17" ht="16.5" thickBot="1" x14ac:dyDescent="0.4">
      <c r="B28" s="296" t="s">
        <v>46</v>
      </c>
      <c r="C28" s="296"/>
      <c r="D28" s="126"/>
      <c r="E28" s="126"/>
      <c r="F28" s="126"/>
      <c r="G28" s="126"/>
      <c r="H28" s="126"/>
      <c r="I28" s="126"/>
      <c r="J28" s="126"/>
      <c r="K28" s="126"/>
      <c r="L28" s="126"/>
      <c r="M28" s="126"/>
      <c r="N28" s="126"/>
      <c r="O28" s="126"/>
      <c r="P28" s="126"/>
      <c r="Q28" s="126"/>
    </row>
    <row r="29" spans="2:17" ht="16.5" thickTop="1" x14ac:dyDescent="0.35">
      <c r="B29" s="345" t="s">
        <v>344</v>
      </c>
      <c r="C29" s="618">
        <f>CommMortgage</f>
        <v>0</v>
      </c>
      <c r="D29" s="126"/>
      <c r="E29" s="126"/>
      <c r="F29" s="126"/>
      <c r="G29" s="126"/>
      <c r="H29" s="126"/>
      <c r="I29" s="126"/>
      <c r="J29" s="126"/>
      <c r="K29" s="126"/>
      <c r="L29" s="126"/>
      <c r="M29" s="126"/>
      <c r="N29" s="126"/>
      <c r="O29" s="126"/>
      <c r="P29" s="126"/>
      <c r="Q29" s="126"/>
    </row>
    <row r="30" spans="2:17" x14ac:dyDescent="0.35">
      <c r="B30" s="145" t="s">
        <v>345</v>
      </c>
      <c r="C30" s="619">
        <f>'1-StartingPoint'!E38</f>
        <v>0.09</v>
      </c>
      <c r="D30" s="126"/>
      <c r="E30" s="126"/>
      <c r="F30" s="126"/>
      <c r="G30" s="126"/>
      <c r="H30" s="126"/>
      <c r="I30" s="126"/>
      <c r="J30" s="126"/>
      <c r="K30" s="126"/>
      <c r="L30" s="126"/>
      <c r="M30" s="126"/>
      <c r="N30" s="126"/>
      <c r="O30" s="126"/>
      <c r="P30" s="126"/>
      <c r="Q30" s="126"/>
    </row>
    <row r="31" spans="2:17" x14ac:dyDescent="0.35">
      <c r="B31" s="145" t="s">
        <v>346</v>
      </c>
      <c r="C31" s="620">
        <f>'1-StartingPoint'!F38</f>
        <v>240</v>
      </c>
      <c r="D31" s="126"/>
      <c r="E31" s="126"/>
      <c r="F31" s="126"/>
      <c r="G31" s="126"/>
      <c r="H31" s="126"/>
      <c r="I31" s="126"/>
      <c r="J31" s="126"/>
      <c r="K31" s="126"/>
      <c r="L31" s="126"/>
      <c r="M31" s="126"/>
      <c r="N31" s="126"/>
      <c r="O31" s="126"/>
      <c r="P31" s="126"/>
      <c r="Q31" s="126"/>
    </row>
    <row r="32" spans="2:17" x14ac:dyDescent="0.35">
      <c r="B32" s="145" t="s">
        <v>347</v>
      </c>
      <c r="C32" s="621">
        <f>ABS(PMT(C30/12,C31,C29))</f>
        <v>0</v>
      </c>
      <c r="D32" s="126"/>
      <c r="E32" s="126"/>
      <c r="F32" s="126"/>
      <c r="G32" s="126"/>
      <c r="H32" s="126"/>
      <c r="I32" s="126"/>
      <c r="J32" s="126"/>
      <c r="K32" s="126"/>
      <c r="L32" s="126"/>
      <c r="M32" s="126"/>
      <c r="N32" s="126"/>
      <c r="O32" s="126"/>
      <c r="P32" s="126"/>
      <c r="Q32" s="126"/>
    </row>
    <row r="33" spans="2:17" x14ac:dyDescent="0.35">
      <c r="B33" s="145"/>
      <c r="C33" s="612" t="str">
        <f>'3a-SalesForecastYear1'!$C$16</f>
        <v>Month 1</v>
      </c>
      <c r="D33" s="612" t="str">
        <f>'3a-SalesForecastYear1'!$D$16</f>
        <v>Month 2</v>
      </c>
      <c r="E33" s="612" t="str">
        <f>'3a-SalesForecastYear1'!$E$16</f>
        <v>Month 3</v>
      </c>
      <c r="F33" s="612" t="str">
        <f>'3a-SalesForecastYear1'!$F$16</f>
        <v>Month 4</v>
      </c>
      <c r="G33" s="612" t="str">
        <f>'3a-SalesForecastYear1'!$G$16</f>
        <v>Month 5</v>
      </c>
      <c r="H33" s="612" t="str">
        <f>'3a-SalesForecastYear1'!$H$16</f>
        <v>Month 6</v>
      </c>
      <c r="I33" s="612" t="str">
        <f>'3a-SalesForecastYear1'!$I$16</f>
        <v>Month 7</v>
      </c>
      <c r="J33" s="612" t="str">
        <f>'3a-SalesForecastYear1'!$J$16</f>
        <v>Month 8</v>
      </c>
      <c r="K33" s="612" t="str">
        <f>'3a-SalesForecastYear1'!$K$16</f>
        <v>Month 9</v>
      </c>
      <c r="L33" s="612" t="str">
        <f>'3a-SalesForecastYear1'!$L$16</f>
        <v>Month 10</v>
      </c>
      <c r="M33" s="612" t="str">
        <f>'3a-SalesForecastYear1'!$M$16</f>
        <v>Month 11</v>
      </c>
      <c r="N33" s="612" t="str">
        <f>'3a-SalesForecastYear1'!$N$16</f>
        <v>Month 12</v>
      </c>
      <c r="O33" s="612" t="s">
        <v>38</v>
      </c>
      <c r="P33" s="126"/>
      <c r="Q33" s="126"/>
    </row>
    <row r="34" spans="2:17" x14ac:dyDescent="0.35">
      <c r="B34" s="145" t="s">
        <v>269</v>
      </c>
      <c r="C34" s="138"/>
      <c r="D34" s="138"/>
      <c r="E34" s="138"/>
      <c r="F34" s="138"/>
      <c r="G34" s="138"/>
      <c r="H34" s="138"/>
      <c r="I34" s="138"/>
      <c r="J34" s="138"/>
      <c r="K34" s="138"/>
      <c r="L34" s="138"/>
      <c r="M34" s="138"/>
      <c r="N34" s="138"/>
      <c r="O34" s="138"/>
      <c r="P34" s="126"/>
      <c r="Q34" s="126"/>
    </row>
    <row r="35" spans="2:17" x14ac:dyDescent="0.35">
      <c r="B35" s="567" t="s">
        <v>160</v>
      </c>
      <c r="C35" s="442">
        <f>ABS(IPMT($C$30/12,1,$C$31,$C$29))</f>
        <v>0</v>
      </c>
      <c r="D35" s="442">
        <f>ABS(IPMT($C$30/12,2,$C$31,$C$29))</f>
        <v>0</v>
      </c>
      <c r="E35" s="442">
        <f>ABS(IPMT($C$30/12,3,$C$31,$C$29))</f>
        <v>0</v>
      </c>
      <c r="F35" s="442">
        <f>ABS(IPMT($C$30/12,4,$C$31,$C$29))</f>
        <v>0</v>
      </c>
      <c r="G35" s="442">
        <f>ABS(IPMT($C$30/12,5,$C$31,$C$29))</f>
        <v>0</v>
      </c>
      <c r="H35" s="442">
        <f>ABS(IPMT($C$30/12,6,$C$31,$C$29))</f>
        <v>0</v>
      </c>
      <c r="I35" s="442">
        <f>ABS(IPMT($C$30/12,7,$C$31,$C$29))</f>
        <v>0</v>
      </c>
      <c r="J35" s="442">
        <f>ABS(IPMT($C$30/12,8,$C$31,$C$29))</f>
        <v>0</v>
      </c>
      <c r="K35" s="442">
        <f>ABS(IPMT($C$30/12,9,$C$31,$C$29))</f>
        <v>0</v>
      </c>
      <c r="L35" s="442">
        <f>ABS(IPMT($C$30/12,10,$C$31,$C$29))</f>
        <v>0</v>
      </c>
      <c r="M35" s="442">
        <f>ABS(IPMT($C$30/12,11,$C$31,$C$29))</f>
        <v>0</v>
      </c>
      <c r="N35" s="442">
        <f>ABS(IPMT($C$30/12,12,$C$31,$C$29))</f>
        <v>0</v>
      </c>
      <c r="O35" s="613">
        <f>SUM(C35:N35)</f>
        <v>0</v>
      </c>
      <c r="P35" s="126"/>
      <c r="Q35" s="126"/>
    </row>
    <row r="36" spans="2:17" x14ac:dyDescent="0.35">
      <c r="B36" s="567" t="s">
        <v>348</v>
      </c>
      <c r="C36" s="442">
        <f>ABS(PPMT($C$30/12,1,$C$31,$C$29))</f>
        <v>0</v>
      </c>
      <c r="D36" s="442">
        <f>ABS(PPMT($C$30/12,2,$C$31,$C$29))</f>
        <v>0</v>
      </c>
      <c r="E36" s="442">
        <f>ABS(PPMT($C$30/12,3,$C$31,$C$29))</f>
        <v>0</v>
      </c>
      <c r="F36" s="442">
        <f>ABS(PPMT($C$30/12,4,$C$31,$C$29))</f>
        <v>0</v>
      </c>
      <c r="G36" s="442">
        <f>ABS(PPMT($C$30/12,5,$C$31,$C$29))</f>
        <v>0</v>
      </c>
      <c r="H36" s="442">
        <f>ABS(PPMT($C$30/12,6,$C$31,$C$29))</f>
        <v>0</v>
      </c>
      <c r="I36" s="442">
        <f>ABS(PPMT($C$30/12,7,$C$31,$C$29))</f>
        <v>0</v>
      </c>
      <c r="J36" s="442">
        <f>ABS(PPMT($C$30/12,8,$C$31,$C$29))</f>
        <v>0</v>
      </c>
      <c r="K36" s="442">
        <f>ABS(PPMT($C$30/12,9,$C$31,$C$29))</f>
        <v>0</v>
      </c>
      <c r="L36" s="442">
        <f>ABS(PPMT($C$30/12,10,$C$31,$C$29))</f>
        <v>0</v>
      </c>
      <c r="M36" s="442">
        <f>ABS(PPMT($C$30/12,11,$C$31,$C$29))</f>
        <v>0</v>
      </c>
      <c r="N36" s="442">
        <f>ABS(PPMT($C$30/12,12,$C$31,$C$29))</f>
        <v>0</v>
      </c>
      <c r="O36" s="613">
        <f>SUM(C36:N36)</f>
        <v>0</v>
      </c>
      <c r="P36" s="126"/>
      <c r="Q36" s="126"/>
    </row>
    <row r="37" spans="2:17" x14ac:dyDescent="0.35">
      <c r="B37" s="567" t="s">
        <v>349</v>
      </c>
      <c r="C37" s="614">
        <f>$C$29-C36</f>
        <v>0</v>
      </c>
      <c r="D37" s="614">
        <f t="shared" ref="D37:N37" si="3">C37-D36</f>
        <v>0</v>
      </c>
      <c r="E37" s="614">
        <f t="shared" si="3"/>
        <v>0</v>
      </c>
      <c r="F37" s="614">
        <f t="shared" si="3"/>
        <v>0</v>
      </c>
      <c r="G37" s="614">
        <f t="shared" si="3"/>
        <v>0</v>
      </c>
      <c r="H37" s="614">
        <f t="shared" si="3"/>
        <v>0</v>
      </c>
      <c r="I37" s="614">
        <f t="shared" si="3"/>
        <v>0</v>
      </c>
      <c r="J37" s="614">
        <f t="shared" si="3"/>
        <v>0</v>
      </c>
      <c r="K37" s="614">
        <f t="shared" si="3"/>
        <v>0</v>
      </c>
      <c r="L37" s="614">
        <f t="shared" si="3"/>
        <v>0</v>
      </c>
      <c r="M37" s="614">
        <f t="shared" si="3"/>
        <v>0</v>
      </c>
      <c r="N37" s="614">
        <f t="shared" si="3"/>
        <v>0</v>
      </c>
      <c r="O37" s="615"/>
      <c r="P37" s="126"/>
      <c r="Q37" s="126"/>
    </row>
    <row r="38" spans="2:17" x14ac:dyDescent="0.35">
      <c r="B38" s="145" t="s">
        <v>270</v>
      </c>
      <c r="C38" s="616"/>
      <c r="D38" s="616"/>
      <c r="E38" s="616"/>
      <c r="F38" s="616"/>
      <c r="G38" s="616"/>
      <c r="H38" s="616"/>
      <c r="I38" s="616"/>
      <c r="J38" s="616"/>
      <c r="K38" s="616"/>
      <c r="L38" s="616"/>
      <c r="M38" s="616"/>
      <c r="N38" s="616"/>
      <c r="O38" s="616"/>
      <c r="P38" s="126"/>
      <c r="Q38" s="126"/>
    </row>
    <row r="39" spans="2:17" x14ac:dyDescent="0.35">
      <c r="B39" s="567" t="s">
        <v>160</v>
      </c>
      <c r="C39" s="442">
        <f>IF($C$31&lt;13,0,ABS(IPMT($C$30/12,13,$C$31,$C$29)))</f>
        <v>0</v>
      </c>
      <c r="D39" s="442">
        <f>IF($C$31&lt;14,0,ABS(IPMT($C$30/12,14,$C$31,$C$29)))</f>
        <v>0</v>
      </c>
      <c r="E39" s="442">
        <f>IF($C$31&lt;15,0,ABS(IPMT($C$30/12,15,$C$31,$C$29)))</f>
        <v>0</v>
      </c>
      <c r="F39" s="442">
        <f>IF($C$31&lt;16,0,ABS(IPMT($C$30/12,16,$C$31,$C$29)))</f>
        <v>0</v>
      </c>
      <c r="G39" s="442">
        <f>IF($C$31&lt;17,0,ABS(IPMT($C$30/12,17,$C$31,$C$29)))</f>
        <v>0</v>
      </c>
      <c r="H39" s="442">
        <f>IF($C$31&lt;18,0,ABS(IPMT($C$30/12,18,$C$31,$C$29)))</f>
        <v>0</v>
      </c>
      <c r="I39" s="442">
        <f>IF($C$31&lt;19,0,ABS(IPMT($C$30/12,19,$C$31,$C$29)))</f>
        <v>0</v>
      </c>
      <c r="J39" s="442">
        <f>IF($C$31&lt;20,0,ABS(IPMT($C$30/12,20,$C$31,$C$29)))</f>
        <v>0</v>
      </c>
      <c r="K39" s="442">
        <f>IF($C$31&lt;21,0,ABS(IPMT($C$30/12,21,$C$31,$C$29)))</f>
        <v>0</v>
      </c>
      <c r="L39" s="442">
        <f>IF($C$31&lt;22,0,ABS(IPMT($C$30/12,22,$C$31,$C$29)))</f>
        <v>0</v>
      </c>
      <c r="M39" s="442">
        <f>IF($C$31&lt;23,0,ABS(IPMT($C$30/23,11,$C$31,$C$29)))</f>
        <v>0</v>
      </c>
      <c r="N39" s="442">
        <f>IF($C$31&lt;24,0,ABS(IPMT($C$30/12,24,$C$31,$C$29)))</f>
        <v>0</v>
      </c>
      <c r="O39" s="613">
        <f>SUM(C39:N39)</f>
        <v>0</v>
      </c>
      <c r="P39" s="126"/>
      <c r="Q39" s="126"/>
    </row>
    <row r="40" spans="2:17" x14ac:dyDescent="0.35">
      <c r="B40" s="567" t="s">
        <v>348</v>
      </c>
      <c r="C40" s="442">
        <f>IF($C$31&lt;13,0,ABS(PPMT($C$30/12,13,$C$31,$C$29)))</f>
        <v>0</v>
      </c>
      <c r="D40" s="442">
        <f>IF($C$31&lt;14,0,ABS(PPMT($C$30/12,14,$C$31,$C$29)))</f>
        <v>0</v>
      </c>
      <c r="E40" s="442">
        <f>IF($C$31&lt;13,0,ABS(PPMT($C$30/12,15,$C$31,$C$29)))</f>
        <v>0</v>
      </c>
      <c r="F40" s="442">
        <f>IF($C$31&lt;16,0,ABS(PPMT($C$30/12,16,$C$31,$C$29)))</f>
        <v>0</v>
      </c>
      <c r="G40" s="442">
        <f>IF($C$31&lt;17,0,ABS(PPMT($C$30/12,17,$C$31,$C$29)))</f>
        <v>0</v>
      </c>
      <c r="H40" s="442">
        <f>IF($C$31&lt;18,0,ABS(PPMT($C$30/12,18,$C$31,$C$29)))</f>
        <v>0</v>
      </c>
      <c r="I40" s="442">
        <f>IF($C$31&lt;19,0,ABS(PPMT($C$30/12,19,$C$31,$C$29)))</f>
        <v>0</v>
      </c>
      <c r="J40" s="442">
        <f>IF($C$31&lt;20,0,ABS(PPMT($C$30/12,20,$C$31,$C$29)))</f>
        <v>0</v>
      </c>
      <c r="K40" s="442">
        <f>IF($C$31&lt;21,0,ABS(PPMT($C$30/12,21,$C$31,$C$29)))</f>
        <v>0</v>
      </c>
      <c r="L40" s="442">
        <f>IF($C$31&lt;22,0,ABS(PPMT($C$30/12,22,$C$31,$C$29)))</f>
        <v>0</v>
      </c>
      <c r="M40" s="442">
        <f>IF($C$31&lt;23,0,ABS(PPMT($C$30/12,23,$C$31,$C$29)))</f>
        <v>0</v>
      </c>
      <c r="N40" s="442">
        <f>IF($C$31&lt;24,0,ABS(PPMT($C$30/12,24,$C$31,$C$29)))</f>
        <v>0</v>
      </c>
      <c r="O40" s="613">
        <f>SUM(C40:N40)</f>
        <v>0</v>
      </c>
      <c r="P40" s="126"/>
      <c r="Q40" s="126"/>
    </row>
    <row r="41" spans="2:17" x14ac:dyDescent="0.35">
      <c r="B41" s="567" t="s">
        <v>349</v>
      </c>
      <c r="C41" s="614">
        <f>N37-C40</f>
        <v>0</v>
      </c>
      <c r="D41" s="614">
        <f t="shared" ref="D41:N41" si="4">C41-D40</f>
        <v>0</v>
      </c>
      <c r="E41" s="614">
        <f t="shared" si="4"/>
        <v>0</v>
      </c>
      <c r="F41" s="614">
        <f t="shared" si="4"/>
        <v>0</v>
      </c>
      <c r="G41" s="614">
        <f t="shared" si="4"/>
        <v>0</v>
      </c>
      <c r="H41" s="614">
        <f t="shared" si="4"/>
        <v>0</v>
      </c>
      <c r="I41" s="614">
        <f t="shared" si="4"/>
        <v>0</v>
      </c>
      <c r="J41" s="614">
        <f t="shared" si="4"/>
        <v>0</v>
      </c>
      <c r="K41" s="614">
        <f t="shared" si="4"/>
        <v>0</v>
      </c>
      <c r="L41" s="614">
        <f t="shared" si="4"/>
        <v>0</v>
      </c>
      <c r="M41" s="614">
        <f t="shared" si="4"/>
        <v>0</v>
      </c>
      <c r="N41" s="614">
        <f t="shared" si="4"/>
        <v>0</v>
      </c>
      <c r="O41" s="615"/>
      <c r="P41" s="126"/>
      <c r="Q41" s="126"/>
    </row>
    <row r="42" spans="2:17" x14ac:dyDescent="0.35">
      <c r="B42" s="145" t="s">
        <v>271</v>
      </c>
      <c r="C42" s="616"/>
      <c r="D42" s="616"/>
      <c r="E42" s="616"/>
      <c r="F42" s="616"/>
      <c r="G42" s="616"/>
      <c r="H42" s="616"/>
      <c r="I42" s="616"/>
      <c r="J42" s="616"/>
      <c r="K42" s="616"/>
      <c r="L42" s="616"/>
      <c r="M42" s="616"/>
      <c r="N42" s="616"/>
      <c r="O42" s="616"/>
      <c r="P42" s="126"/>
      <c r="Q42" s="126"/>
    </row>
    <row r="43" spans="2:17" x14ac:dyDescent="0.35">
      <c r="B43" s="567" t="s">
        <v>160</v>
      </c>
      <c r="C43" s="442">
        <f>IF($C$31&lt;25,0,ABS(IPMT($C$30/12,25,$C$31,$C$29)))</f>
        <v>0</v>
      </c>
      <c r="D43" s="442">
        <f>IF($C$31&lt;26,0,ABS(IPMT($C$30/12,26,$C$31,$C$29)))</f>
        <v>0</v>
      </c>
      <c r="E43" s="442">
        <f>IF($C$31&lt;27,0,ABS(IPMT($C$30/12,27,$C$31,$C$29)))</f>
        <v>0</v>
      </c>
      <c r="F43" s="442">
        <f>IF($C$31&lt;28,0,ABS(IPMT($C$30/12,28,$C$31,$C$29)))</f>
        <v>0</v>
      </c>
      <c r="G43" s="442">
        <f>IF($C$31&lt;29,0,ABS(IPMT($C$30/12,29,$C$31,$C$29)))</f>
        <v>0</v>
      </c>
      <c r="H43" s="442">
        <f>IF($C$31&lt;29,0,ABS(IPMT($C$30/12,30,$C$31,$C$29)))</f>
        <v>0</v>
      </c>
      <c r="I43" s="442">
        <f>IF($C$31&lt;30,0,ABS(IPMT($C$30/12,31,$C$31,$C$29)))</f>
        <v>0</v>
      </c>
      <c r="J43" s="442">
        <f>IF($C$31&lt;31,0,ABS(IPMT($C$30/12,32,$C$31,$C$29)))</f>
        <v>0</v>
      </c>
      <c r="K43" s="442">
        <f>IF($C$31&lt;32,0,ABS(IPMT($C$30/12,33,$C$31,$C$29)))</f>
        <v>0</v>
      </c>
      <c r="L43" s="442">
        <f>IF($C$31&lt;33,0,ABS(IPMT($C$30/12,34,$C$31,$C$29)))</f>
        <v>0</v>
      </c>
      <c r="M43" s="442">
        <f>IF($C$31&lt;34,0,ABS(IPMT($C$30/12,35,$C$31,$C$29)))</f>
        <v>0</v>
      </c>
      <c r="N43" s="442">
        <f>IF($C$31&lt;35,0,ABS(IPMT($C$30/12,36,$C$31,$C$29)))</f>
        <v>0</v>
      </c>
      <c r="O43" s="613">
        <f>SUM(C43:N43)</f>
        <v>0</v>
      </c>
      <c r="P43" s="126"/>
      <c r="Q43" s="126"/>
    </row>
    <row r="44" spans="2:17" x14ac:dyDescent="0.35">
      <c r="B44" s="567" t="s">
        <v>348</v>
      </c>
      <c r="C44" s="442">
        <f>IF($C$31&lt;25,0,ABS(PPMT($C$30/12,25,$C$31,$C$29)))</f>
        <v>0</v>
      </c>
      <c r="D44" s="442">
        <f>IF($C$31&lt;26,0,ABS(PPMT($C$30/12,26,$C$31,$C$29)))</f>
        <v>0</v>
      </c>
      <c r="E44" s="442">
        <f>IF($C$31&lt;27,0,ABS(PPMT($C$30/12,27,$C$31,$C$29)))</f>
        <v>0</v>
      </c>
      <c r="F44" s="442">
        <f>IF($C$31&lt;28,0,ABS(PPMT($C$30/12,28,$C$31,$C$29)))</f>
        <v>0</v>
      </c>
      <c r="G44" s="442">
        <f>IF($C$31&lt;28,0,ABS(PPMT($C$30/12,29,$C$31,$C$29)))</f>
        <v>0</v>
      </c>
      <c r="H44" s="442">
        <f>IF($C$31&lt;29,0,ABS(PPMT($C$30/12,30,$C$31,$C$29)))</f>
        <v>0</v>
      </c>
      <c r="I44" s="442">
        <f>IF($C$31&lt;30,0,ABS(PPMT($C$30/12,31,$C$31,$C$29)))</f>
        <v>0</v>
      </c>
      <c r="J44" s="442">
        <f>IF($C$31&lt;31,0,ABS(PPMT($C$30/12,32,$C$31,$C$29)))</f>
        <v>0</v>
      </c>
      <c r="K44" s="442">
        <f>IF($C$31&lt;32,0,ABS(PPMT($C$30/12,33,$C$31,$C$29)))</f>
        <v>0</v>
      </c>
      <c r="L44" s="442">
        <f>IF($C$31&lt;33,0,ABS(PPMT($C$30/12,34,$C$31,$C$29)))</f>
        <v>0</v>
      </c>
      <c r="M44" s="442">
        <f>IF($C$31&lt;34,0,ABS(PPMT($C$30/12,35,$C$31,$C$29)))</f>
        <v>0</v>
      </c>
      <c r="N44" s="442">
        <f>IF($C$31&lt;35,0,ABS(PPMT($C$30/12,36,$C$31,$C$29)))</f>
        <v>0</v>
      </c>
      <c r="O44" s="613">
        <f>SUM(C44:N44)</f>
        <v>0</v>
      </c>
      <c r="P44" s="126"/>
      <c r="Q44" s="126"/>
    </row>
    <row r="45" spans="2:17" x14ac:dyDescent="0.35">
      <c r="B45" s="567" t="s">
        <v>349</v>
      </c>
      <c r="C45" s="614">
        <f>N41-C44</f>
        <v>0</v>
      </c>
      <c r="D45" s="614">
        <f t="shared" ref="D45:N45" si="5">C45-D44</f>
        <v>0</v>
      </c>
      <c r="E45" s="614">
        <f t="shared" si="5"/>
        <v>0</v>
      </c>
      <c r="F45" s="614">
        <f t="shared" si="5"/>
        <v>0</v>
      </c>
      <c r="G45" s="614">
        <f t="shared" si="5"/>
        <v>0</v>
      </c>
      <c r="H45" s="614">
        <f t="shared" si="5"/>
        <v>0</v>
      </c>
      <c r="I45" s="614">
        <f t="shared" si="5"/>
        <v>0</v>
      </c>
      <c r="J45" s="614">
        <f t="shared" si="5"/>
        <v>0</v>
      </c>
      <c r="K45" s="614">
        <f t="shared" si="5"/>
        <v>0</v>
      </c>
      <c r="L45" s="614">
        <f t="shared" si="5"/>
        <v>0</v>
      </c>
      <c r="M45" s="614">
        <f t="shared" si="5"/>
        <v>0</v>
      </c>
      <c r="N45" s="614">
        <f t="shared" si="5"/>
        <v>0</v>
      </c>
      <c r="O45" s="615"/>
      <c r="P45" s="126"/>
      <c r="Q45" s="126"/>
    </row>
    <row r="46" spans="2:17" x14ac:dyDescent="0.35">
      <c r="B46" s="117"/>
      <c r="C46" s="117"/>
      <c r="D46" s="126"/>
      <c r="E46" s="126"/>
      <c r="F46" s="126"/>
      <c r="G46" s="126"/>
      <c r="H46" s="126"/>
      <c r="I46" s="126"/>
      <c r="J46" s="126"/>
      <c r="K46" s="126"/>
      <c r="L46" s="126"/>
      <c r="M46" s="126"/>
      <c r="N46" s="126"/>
      <c r="O46" s="126"/>
      <c r="P46" s="126"/>
      <c r="Q46" s="126"/>
    </row>
    <row r="47" spans="2:17" x14ac:dyDescent="0.35">
      <c r="B47" s="117"/>
      <c r="C47" s="117"/>
      <c r="D47" s="126"/>
      <c r="E47" s="126"/>
      <c r="F47" s="126"/>
      <c r="G47" s="126"/>
      <c r="H47" s="126"/>
      <c r="I47" s="126"/>
      <c r="J47" s="126"/>
      <c r="K47" s="126"/>
      <c r="L47" s="126"/>
      <c r="M47" s="126"/>
      <c r="N47" s="126"/>
      <c r="O47" s="126"/>
      <c r="P47" s="126"/>
      <c r="Q47" s="126"/>
    </row>
    <row r="48" spans="2:17" ht="16.5" thickBot="1" x14ac:dyDescent="0.4">
      <c r="B48" s="296" t="s">
        <v>48</v>
      </c>
      <c r="C48" s="296"/>
      <c r="D48" s="126"/>
      <c r="E48" s="126"/>
      <c r="F48" s="126"/>
      <c r="G48" s="126"/>
      <c r="H48" s="126"/>
      <c r="I48" s="126"/>
      <c r="J48" s="126"/>
      <c r="K48" s="126"/>
      <c r="L48" s="126"/>
      <c r="M48" s="126"/>
      <c r="N48" s="126"/>
      <c r="O48" s="126"/>
      <c r="P48" s="126"/>
      <c r="Q48" s="126"/>
    </row>
    <row r="49" spans="2:17" ht="16.5" thickTop="1" x14ac:dyDescent="0.35">
      <c r="B49" s="345" t="s">
        <v>344</v>
      </c>
      <c r="C49" s="618">
        <f>CCDebt</f>
        <v>0</v>
      </c>
      <c r="D49" s="126"/>
      <c r="E49" s="126"/>
      <c r="F49" s="126"/>
      <c r="G49" s="126"/>
      <c r="H49" s="126"/>
      <c r="I49" s="126"/>
      <c r="J49" s="126"/>
      <c r="K49" s="126"/>
      <c r="L49" s="126"/>
      <c r="M49" s="126"/>
      <c r="N49" s="126"/>
      <c r="O49" s="126"/>
      <c r="P49" s="126"/>
      <c r="Q49" s="126"/>
    </row>
    <row r="50" spans="2:17" x14ac:dyDescent="0.35">
      <c r="B50" s="145" t="s">
        <v>345</v>
      </c>
      <c r="C50" s="619">
        <f>'1-StartingPoint'!E39</f>
        <v>7.0000000000000007E-2</v>
      </c>
      <c r="D50" s="126"/>
      <c r="E50" s="126"/>
      <c r="F50" s="126"/>
      <c r="G50" s="126"/>
      <c r="H50" s="126"/>
      <c r="I50" s="126"/>
      <c r="J50" s="126"/>
      <c r="K50" s="126"/>
      <c r="L50" s="126"/>
      <c r="M50" s="126"/>
      <c r="N50" s="126"/>
      <c r="O50" s="126"/>
      <c r="P50" s="126"/>
      <c r="Q50" s="126"/>
    </row>
    <row r="51" spans="2:17" x14ac:dyDescent="0.35">
      <c r="B51" s="145" t="s">
        <v>346</v>
      </c>
      <c r="C51" s="620">
        <f>'1-StartingPoint'!F39</f>
        <v>60</v>
      </c>
      <c r="D51" s="126"/>
      <c r="E51" s="126"/>
      <c r="F51" s="126"/>
      <c r="G51" s="126"/>
      <c r="H51" s="126"/>
      <c r="I51" s="126"/>
      <c r="J51" s="126"/>
      <c r="K51" s="126"/>
      <c r="L51" s="126"/>
      <c r="M51" s="126"/>
      <c r="N51" s="126"/>
      <c r="O51" s="126"/>
      <c r="P51" s="126"/>
      <c r="Q51" s="126"/>
    </row>
    <row r="52" spans="2:17" x14ac:dyDescent="0.35">
      <c r="B52" s="145" t="s">
        <v>347</v>
      </c>
      <c r="C52" s="621">
        <f>ABS(PMT(C50/12,C51,C49))</f>
        <v>0</v>
      </c>
      <c r="D52" s="126"/>
      <c r="E52" s="126"/>
      <c r="F52" s="126"/>
      <c r="G52" s="126"/>
      <c r="H52" s="126"/>
      <c r="I52" s="126"/>
      <c r="J52" s="126"/>
      <c r="K52" s="126"/>
      <c r="L52" s="126"/>
      <c r="M52" s="126"/>
      <c r="N52" s="126"/>
      <c r="O52" s="126"/>
      <c r="P52" s="126"/>
      <c r="Q52" s="126"/>
    </row>
    <row r="53" spans="2:17" x14ac:dyDescent="0.35">
      <c r="B53" s="145"/>
      <c r="C53" s="612" t="str">
        <f>'3a-SalesForecastYear1'!$C$16</f>
        <v>Month 1</v>
      </c>
      <c r="D53" s="612" t="str">
        <f>'3a-SalesForecastYear1'!$D$16</f>
        <v>Month 2</v>
      </c>
      <c r="E53" s="612" t="str">
        <f>'3a-SalesForecastYear1'!$E$16</f>
        <v>Month 3</v>
      </c>
      <c r="F53" s="612" t="str">
        <f>'3a-SalesForecastYear1'!$F$16</f>
        <v>Month 4</v>
      </c>
      <c r="G53" s="612" t="str">
        <f>'3a-SalesForecastYear1'!$G$16</f>
        <v>Month 5</v>
      </c>
      <c r="H53" s="612" t="str">
        <f>'3a-SalesForecastYear1'!$H$16</f>
        <v>Month 6</v>
      </c>
      <c r="I53" s="612" t="str">
        <f>'3a-SalesForecastYear1'!$I$16</f>
        <v>Month 7</v>
      </c>
      <c r="J53" s="612" t="str">
        <f>'3a-SalesForecastYear1'!$J$16</f>
        <v>Month 8</v>
      </c>
      <c r="K53" s="612" t="str">
        <f>'3a-SalesForecastYear1'!$K$16</f>
        <v>Month 9</v>
      </c>
      <c r="L53" s="612" t="str">
        <f>'3a-SalesForecastYear1'!$L$16</f>
        <v>Month 10</v>
      </c>
      <c r="M53" s="612" t="str">
        <f>'3a-SalesForecastYear1'!$M$16</f>
        <v>Month 11</v>
      </c>
      <c r="N53" s="612" t="str">
        <f>'3a-SalesForecastYear1'!$N$16</f>
        <v>Month 12</v>
      </c>
      <c r="O53" s="612" t="s">
        <v>38</v>
      </c>
      <c r="P53" s="126"/>
      <c r="Q53" s="126"/>
    </row>
    <row r="54" spans="2:17" x14ac:dyDescent="0.35">
      <c r="B54" s="145" t="s">
        <v>269</v>
      </c>
      <c r="C54" s="138"/>
      <c r="D54" s="138"/>
      <c r="E54" s="138"/>
      <c r="F54" s="138"/>
      <c r="G54" s="138"/>
      <c r="H54" s="138"/>
      <c r="I54" s="138"/>
      <c r="J54" s="138"/>
      <c r="K54" s="138"/>
      <c r="L54" s="138"/>
      <c r="M54" s="138"/>
      <c r="N54" s="138"/>
      <c r="O54" s="138"/>
      <c r="P54" s="126"/>
      <c r="Q54" s="126"/>
    </row>
    <row r="55" spans="2:17" x14ac:dyDescent="0.35">
      <c r="B55" s="567" t="s">
        <v>160</v>
      </c>
      <c r="C55" s="442">
        <f>ABS(IPMT($C$50/12,1,$C$51,$C$49))</f>
        <v>0</v>
      </c>
      <c r="D55" s="442">
        <f>ABS(IPMT($C$50/12,2,$C$51,$C$49))</f>
        <v>0</v>
      </c>
      <c r="E55" s="442">
        <f>ABS(IPMT($C$50/12,3,$C$51,$C$49))</f>
        <v>0</v>
      </c>
      <c r="F55" s="442">
        <f>ABS(IPMT($C$50/12,4,$C$51,$C$49))</f>
        <v>0</v>
      </c>
      <c r="G55" s="442">
        <f>ABS(IPMT($C$50/12,5,$C$51,$C$49))</f>
        <v>0</v>
      </c>
      <c r="H55" s="442">
        <f>ABS(IPMT($C$50/12,6,$C$51,$C$49))</f>
        <v>0</v>
      </c>
      <c r="I55" s="442">
        <f>ABS(IPMT($C$50/12,7,$C$51,$C$49))</f>
        <v>0</v>
      </c>
      <c r="J55" s="442">
        <f>ABS(IPMT($C$50/12,8,$C$51,$C$49))</f>
        <v>0</v>
      </c>
      <c r="K55" s="442">
        <f>ABS(IPMT($C$50/12,9,$C$51,$C$49))</f>
        <v>0</v>
      </c>
      <c r="L55" s="442">
        <f>ABS(IPMT($C$50/12,10,$C$51,$C$49))</f>
        <v>0</v>
      </c>
      <c r="M55" s="442">
        <f>ABS(IPMT($C$50/12,11,$C$51,$C$49))</f>
        <v>0</v>
      </c>
      <c r="N55" s="442">
        <f>ABS(IPMT($C$50/12,12,$C$51,$C$49))</f>
        <v>0</v>
      </c>
      <c r="O55" s="613">
        <f>SUM(C55:N55)</f>
        <v>0</v>
      </c>
      <c r="P55" s="126"/>
      <c r="Q55" s="126"/>
    </row>
    <row r="56" spans="2:17" x14ac:dyDescent="0.35">
      <c r="B56" s="567" t="s">
        <v>348</v>
      </c>
      <c r="C56" s="442">
        <f>ABS(PPMT($C$50/12,1,$C$51,$C$49))</f>
        <v>0</v>
      </c>
      <c r="D56" s="442">
        <f>ABS(PPMT($C$50/12,2,$C$51,$C$49))</f>
        <v>0</v>
      </c>
      <c r="E56" s="442">
        <f>ABS(PPMT($C$50/12,3,$C$51,$C$49))</f>
        <v>0</v>
      </c>
      <c r="F56" s="442">
        <f>ABS(PPMT($C$50/12,4,$C$51,$C$49))</f>
        <v>0</v>
      </c>
      <c r="G56" s="442">
        <f>ABS(PPMT($C$50/12,5,$C$51,$C$49))</f>
        <v>0</v>
      </c>
      <c r="H56" s="442">
        <f>ABS(PPMT($C$50/12,6,$C$51,$C$49))</f>
        <v>0</v>
      </c>
      <c r="I56" s="442">
        <f>ABS(PPMT($C$50/12,7,$C$51,$C$49))</f>
        <v>0</v>
      </c>
      <c r="J56" s="442">
        <f>ABS(PPMT($C$50/12,8,$C$51,$C$49))</f>
        <v>0</v>
      </c>
      <c r="K56" s="442">
        <f>ABS(PPMT($C$50/12,9,$C$51,$C$49))</f>
        <v>0</v>
      </c>
      <c r="L56" s="442">
        <f>ABS(PPMT($C$50/12,10,$C$51,$C$49))</f>
        <v>0</v>
      </c>
      <c r="M56" s="442">
        <f>ABS(PPMT($C$50/12,11,$C$51,$C$49))</f>
        <v>0</v>
      </c>
      <c r="N56" s="442">
        <f>ABS(PPMT($C$50/12,12,$C$51,$C$49))</f>
        <v>0</v>
      </c>
      <c r="O56" s="613">
        <f>SUM(C56:N56)</f>
        <v>0</v>
      </c>
      <c r="P56" s="126"/>
      <c r="Q56" s="126"/>
    </row>
    <row r="57" spans="2:17" x14ac:dyDescent="0.35">
      <c r="B57" s="567" t="s">
        <v>349</v>
      </c>
      <c r="C57" s="614">
        <f>$C$49-C56</f>
        <v>0</v>
      </c>
      <c r="D57" s="614">
        <f t="shared" ref="D57:N57" si="6">C57-D56</f>
        <v>0</v>
      </c>
      <c r="E57" s="614">
        <f t="shared" si="6"/>
        <v>0</v>
      </c>
      <c r="F57" s="614">
        <f t="shared" si="6"/>
        <v>0</v>
      </c>
      <c r="G57" s="614">
        <f t="shared" si="6"/>
        <v>0</v>
      </c>
      <c r="H57" s="614">
        <f t="shared" si="6"/>
        <v>0</v>
      </c>
      <c r="I57" s="614">
        <f t="shared" si="6"/>
        <v>0</v>
      </c>
      <c r="J57" s="614">
        <f t="shared" si="6"/>
        <v>0</v>
      </c>
      <c r="K57" s="614">
        <f t="shared" si="6"/>
        <v>0</v>
      </c>
      <c r="L57" s="614">
        <f t="shared" si="6"/>
        <v>0</v>
      </c>
      <c r="M57" s="614">
        <f t="shared" si="6"/>
        <v>0</v>
      </c>
      <c r="N57" s="614">
        <f t="shared" si="6"/>
        <v>0</v>
      </c>
      <c r="O57" s="615"/>
      <c r="P57" s="126"/>
      <c r="Q57" s="126"/>
    </row>
    <row r="58" spans="2:17" x14ac:dyDescent="0.35">
      <c r="B58" s="145" t="s">
        <v>270</v>
      </c>
      <c r="C58" s="616"/>
      <c r="D58" s="616"/>
      <c r="E58" s="616"/>
      <c r="F58" s="616"/>
      <c r="G58" s="616"/>
      <c r="H58" s="616"/>
      <c r="I58" s="616"/>
      <c r="J58" s="616"/>
      <c r="K58" s="616"/>
      <c r="L58" s="616"/>
      <c r="M58" s="616"/>
      <c r="N58" s="616"/>
      <c r="O58" s="616"/>
      <c r="P58" s="126"/>
      <c r="Q58" s="126"/>
    </row>
    <row r="59" spans="2:17" x14ac:dyDescent="0.35">
      <c r="B59" s="567" t="s">
        <v>160</v>
      </c>
      <c r="C59" s="442">
        <f>IF($C$51&lt;13,0,ABS(IPMT($C$50/12,13,$C$51,$C$49)))</f>
        <v>0</v>
      </c>
      <c r="D59" s="442">
        <f>IF($C$51&lt;14,0,ABS(IPMT($C$50/12,14,$C$51,$C$49)))</f>
        <v>0</v>
      </c>
      <c r="E59" s="442">
        <f>IF($C$51&lt;15,0,ABS(IPMT($C$50/12,15,$C$51,$C$49)))</f>
        <v>0</v>
      </c>
      <c r="F59" s="442">
        <f>IF($C$51&lt;16,0,ABS(IPMT($C$50/12,16,$C$51,$C$49)))</f>
        <v>0</v>
      </c>
      <c r="G59" s="442">
        <f>IF($C$51&lt;17,0,ABS(IPMT($C$50/12,17,$C$51,$C$49)))</f>
        <v>0</v>
      </c>
      <c r="H59" s="442">
        <f>IF($C$51&lt;18,0,ABS(IPMT($C$50/12,18,$C$51,$C$49)))</f>
        <v>0</v>
      </c>
      <c r="I59" s="442">
        <f>IF($C$51&lt;19,0,ABS(IPMT($C$50/12,19,$C$51,$C$49)))</f>
        <v>0</v>
      </c>
      <c r="J59" s="442">
        <f>IF($C$51&lt;20,0,ABS(IPMT($C$50/12,20,$C$51,$C$49)))</f>
        <v>0</v>
      </c>
      <c r="K59" s="442">
        <f>IF($C$51&lt;21,0,ABS(IPMT($C$50/12,21,$C$51,$C$49)))</f>
        <v>0</v>
      </c>
      <c r="L59" s="442">
        <f>IF($C$51&lt;22,0,ABS(IPMT($C$50/12,22,$C$51,$C$49)))</f>
        <v>0</v>
      </c>
      <c r="M59" s="442">
        <f>IF($C$51&lt;23,0,ABS(IPMT($C$50/23,11,$C$51,$C$49)))</f>
        <v>0</v>
      </c>
      <c r="N59" s="442">
        <f>IF($C$51&lt;24,0,ABS(IPMT($C$50/12,24,$C$51,$C$49)))</f>
        <v>0</v>
      </c>
      <c r="O59" s="613">
        <f>SUM(C59:N59)</f>
        <v>0</v>
      </c>
      <c r="P59" s="126"/>
      <c r="Q59" s="126"/>
    </row>
    <row r="60" spans="2:17" x14ac:dyDescent="0.35">
      <c r="B60" s="567" t="s">
        <v>348</v>
      </c>
      <c r="C60" s="442">
        <f>IF($C$51&lt;13,0,ABS(PPMT($C$50/12,13,$C$51,$C$49)))</f>
        <v>0</v>
      </c>
      <c r="D60" s="442">
        <f>IF($C$51&lt;14,0,ABS(PPMT($C$50/12,14,$C$51,$C$49)))</f>
        <v>0</v>
      </c>
      <c r="E60" s="442">
        <f>IF($C$51&lt;15,0,ABS(PPMT($C$50/12,15,$C$51,$C$49)))</f>
        <v>0</v>
      </c>
      <c r="F60" s="442">
        <f>IF($C$51&lt;16,0,ABS(PPMT($C$50/12,16,$C$51,$C$49)))</f>
        <v>0</v>
      </c>
      <c r="G60" s="442">
        <f>IF($C$51&lt;17,0,ABS(PPMT($C$50/12,17,$C$51,$C$49)))</f>
        <v>0</v>
      </c>
      <c r="H60" s="442">
        <f>IF($C$51&lt;18,0,ABS(PPMT($C$50/12,18,$C$51,$C$49)))</f>
        <v>0</v>
      </c>
      <c r="I60" s="442">
        <f>IF($C$51&lt;19,0,ABS(PPMT($C$50/12,19,$C$51,$C$49)))</f>
        <v>0</v>
      </c>
      <c r="J60" s="442">
        <f>IF($C$51&lt;20,0,ABS(PPMT($C$50/12,20,$C$51,$C$49)))</f>
        <v>0</v>
      </c>
      <c r="K60" s="442">
        <f>IF($C$51&lt;21,0,ABS(PPMT($C$50/12,21,$C$51,$C$49)))</f>
        <v>0</v>
      </c>
      <c r="L60" s="442">
        <f>IF($C$51&lt;22,0,ABS(PPMT($C$50/12,22,$C$51,$C$49)))</f>
        <v>0</v>
      </c>
      <c r="M60" s="442">
        <f>IF($C$51&lt;23,0,ABS(PPMT($C$50/12,23,$C$51,$C$49)))</f>
        <v>0</v>
      </c>
      <c r="N60" s="442">
        <f>IF($C$51&lt;24,0,ABS(PPMT($C$50/12,24,$C$51,$C$49)))</f>
        <v>0</v>
      </c>
      <c r="O60" s="613">
        <f>SUM(C60:N60)</f>
        <v>0</v>
      </c>
      <c r="P60" s="126"/>
      <c r="Q60" s="126"/>
    </row>
    <row r="61" spans="2:17" x14ac:dyDescent="0.35">
      <c r="B61" s="567" t="s">
        <v>349</v>
      </c>
      <c r="C61" s="614">
        <f>N57-C60</f>
        <v>0</v>
      </c>
      <c r="D61" s="614">
        <f t="shared" ref="D61:N61" si="7">C61-D60</f>
        <v>0</v>
      </c>
      <c r="E61" s="614">
        <f t="shared" si="7"/>
        <v>0</v>
      </c>
      <c r="F61" s="614">
        <f t="shared" si="7"/>
        <v>0</v>
      </c>
      <c r="G61" s="614">
        <f t="shared" si="7"/>
        <v>0</v>
      </c>
      <c r="H61" s="614">
        <f t="shared" si="7"/>
        <v>0</v>
      </c>
      <c r="I61" s="614">
        <f t="shared" si="7"/>
        <v>0</v>
      </c>
      <c r="J61" s="614">
        <f t="shared" si="7"/>
        <v>0</v>
      </c>
      <c r="K61" s="614">
        <f t="shared" si="7"/>
        <v>0</v>
      </c>
      <c r="L61" s="614">
        <f t="shared" si="7"/>
        <v>0</v>
      </c>
      <c r="M61" s="614">
        <f t="shared" si="7"/>
        <v>0</v>
      </c>
      <c r="N61" s="614">
        <f t="shared" si="7"/>
        <v>0</v>
      </c>
      <c r="O61" s="615"/>
      <c r="P61" s="126"/>
      <c r="Q61" s="126"/>
    </row>
    <row r="62" spans="2:17" x14ac:dyDescent="0.35">
      <c r="B62" s="145" t="s">
        <v>271</v>
      </c>
      <c r="C62" s="616"/>
      <c r="D62" s="616"/>
      <c r="E62" s="616"/>
      <c r="F62" s="616"/>
      <c r="G62" s="616"/>
      <c r="H62" s="616"/>
      <c r="I62" s="616"/>
      <c r="J62" s="616"/>
      <c r="K62" s="616"/>
      <c r="L62" s="616"/>
      <c r="M62" s="616"/>
      <c r="N62" s="616"/>
      <c r="O62" s="616"/>
      <c r="P62" s="126"/>
      <c r="Q62" s="126"/>
    </row>
    <row r="63" spans="2:17" x14ac:dyDescent="0.35">
      <c r="B63" s="567" t="s">
        <v>160</v>
      </c>
      <c r="C63" s="442">
        <f>IF($C$51&lt;25,0,ABS(IPMT($C$50/12,25,$C$51,$C$49)))</f>
        <v>0</v>
      </c>
      <c r="D63" s="442">
        <f>IF($C$51&lt;26,0,ABS(IPMT($C$50/12,26,$C$51,$C$49)))</f>
        <v>0</v>
      </c>
      <c r="E63" s="442">
        <f>IF($C$51&lt;27,0,ABS(IPMT($C$50/12,27,$C$51,$C$49)))</f>
        <v>0</v>
      </c>
      <c r="F63" s="442">
        <f>IF($C$51&lt;28,0,ABS(IPMT($C$50/12,28,$C$51,$C$49)))</f>
        <v>0</v>
      </c>
      <c r="G63" s="442">
        <f>IF($C$51&lt;29,0,ABS(IPMT($C$50/12,29,$C$51,$C$49)))</f>
        <v>0</v>
      </c>
      <c r="H63" s="442">
        <f>IF($C$51&lt;30,0,ABS(IPMT($C$50/12,30,$C$51,$C$49)))</f>
        <v>0</v>
      </c>
      <c r="I63" s="442">
        <f>IF($C$51&lt;31,0,ABS(IPMT($C$50/12,31,$C$51,$C$49)))</f>
        <v>0</v>
      </c>
      <c r="J63" s="442">
        <f>IF($C$51&lt;32,0,ABS(IPMT($C$50/12,32,$C$51,$C$49)))</f>
        <v>0</v>
      </c>
      <c r="K63" s="442">
        <f>IF($C$51&lt;33,0,ABS(IPMT($C$50/12,33,$C$51,$C$49)))</f>
        <v>0</v>
      </c>
      <c r="L63" s="442">
        <f>IF($C$51&lt;34,0,ABS(IPMT($C$50/12,34,$C$51,$C$49)))</f>
        <v>0</v>
      </c>
      <c r="M63" s="442">
        <f>IF($C$51&lt;35,0,ABS(IPMT($C$50/12,35,$C$51,$C$49)))</f>
        <v>0</v>
      </c>
      <c r="N63" s="442">
        <f>IF($C$51&lt;36,0,ABS(IPMT($C$50/12,36,$C$51,$C$49)))</f>
        <v>0</v>
      </c>
      <c r="O63" s="613">
        <f>SUM(C63:N63)</f>
        <v>0</v>
      </c>
      <c r="P63" s="126"/>
      <c r="Q63" s="126"/>
    </row>
    <row r="64" spans="2:17" x14ac:dyDescent="0.35">
      <c r="B64" s="567" t="s">
        <v>348</v>
      </c>
      <c r="C64" s="442">
        <f>IF($C$51&lt;25,0,ABS(PPMT($C$50/12,25,$C$51,$C$49)))</f>
        <v>0</v>
      </c>
      <c r="D64" s="442">
        <f>IF($C$51&lt;26,0,ABS(PPMT($C$50/12,26,$C$51,$C$49)))</f>
        <v>0</v>
      </c>
      <c r="E64" s="442">
        <f>IF($C$51&lt;27,0,ABS(PPMT($C$50/12,27,$C$51,$C$49)))</f>
        <v>0</v>
      </c>
      <c r="F64" s="442">
        <f>IF($C$51&lt;28,0,ABS(PPMT($C$50/12,28,$C$51,$C$49)))</f>
        <v>0</v>
      </c>
      <c r="G64" s="442">
        <f>IF($C$51&lt;29,0,ABS(PPMT($C$50/12,29,$C$51,$C$49)))</f>
        <v>0</v>
      </c>
      <c r="H64" s="442">
        <f>IF($C$51&lt;30,0,ABS(PPMT($C$50/12,30,$C$51,$C$49)))</f>
        <v>0</v>
      </c>
      <c r="I64" s="442">
        <f>IF($C$51&lt;31,0,ABS(PPMT($C$50/12,31,$C$51,$C$49)))</f>
        <v>0</v>
      </c>
      <c r="J64" s="442">
        <f>IF($C$51&lt;32,0,ABS(PPMT($C$50/12,32,$C$51,$C$49)))</f>
        <v>0</v>
      </c>
      <c r="K64" s="442">
        <f>IF($C$51&lt;33,0,ABS(PPMT($C$50/12,33,$C$51,$C$49)))</f>
        <v>0</v>
      </c>
      <c r="L64" s="442">
        <f>IF($C$51&lt;34,0,ABS(PPMT($C$50/12,34,$C$51,$C$49)))</f>
        <v>0</v>
      </c>
      <c r="M64" s="442">
        <f>IF($C$51&lt;35,0,ABS(PPMT($C$50/12,35,$C$51,$C$49)))</f>
        <v>0</v>
      </c>
      <c r="N64" s="442">
        <f>IF($C$51&lt;36,0,ABS(PPMT($C$50/12,36,$C$51,$C$49)))</f>
        <v>0</v>
      </c>
      <c r="O64" s="613">
        <f>SUM(C64:N64)</f>
        <v>0</v>
      </c>
      <c r="P64" s="126"/>
      <c r="Q64" s="126"/>
    </row>
    <row r="65" spans="2:17" x14ac:dyDescent="0.35">
      <c r="B65" s="567" t="s">
        <v>349</v>
      </c>
      <c r="C65" s="614">
        <f>N61-C64</f>
        <v>0</v>
      </c>
      <c r="D65" s="614">
        <f t="shared" ref="D65:N65" si="8">C65-D64</f>
        <v>0</v>
      </c>
      <c r="E65" s="614">
        <f t="shared" si="8"/>
        <v>0</v>
      </c>
      <c r="F65" s="614">
        <f t="shared" si="8"/>
        <v>0</v>
      </c>
      <c r="G65" s="614">
        <f t="shared" si="8"/>
        <v>0</v>
      </c>
      <c r="H65" s="614">
        <f t="shared" si="8"/>
        <v>0</v>
      </c>
      <c r="I65" s="614">
        <f t="shared" si="8"/>
        <v>0</v>
      </c>
      <c r="J65" s="614">
        <f t="shared" si="8"/>
        <v>0</v>
      </c>
      <c r="K65" s="614">
        <f t="shared" si="8"/>
        <v>0</v>
      </c>
      <c r="L65" s="614">
        <f t="shared" si="8"/>
        <v>0</v>
      </c>
      <c r="M65" s="614">
        <f t="shared" si="8"/>
        <v>0</v>
      </c>
      <c r="N65" s="614">
        <f t="shared" si="8"/>
        <v>0</v>
      </c>
      <c r="O65" s="615"/>
      <c r="P65" s="126"/>
      <c r="Q65" s="126"/>
    </row>
    <row r="66" spans="2:17" x14ac:dyDescent="0.35">
      <c r="B66" s="117"/>
      <c r="C66" s="117"/>
      <c r="D66" s="126"/>
      <c r="E66" s="126"/>
      <c r="F66" s="126"/>
      <c r="G66" s="126"/>
      <c r="H66" s="126"/>
      <c r="I66" s="126"/>
      <c r="J66" s="126"/>
      <c r="K66" s="126"/>
      <c r="L66" s="126"/>
      <c r="M66" s="126"/>
      <c r="N66" s="126"/>
      <c r="O66" s="126"/>
      <c r="P66" s="126"/>
      <c r="Q66" s="126"/>
    </row>
    <row r="67" spans="2:17" x14ac:dyDescent="0.35">
      <c r="B67" s="117"/>
      <c r="C67" s="117"/>
      <c r="D67" s="126"/>
      <c r="E67" s="126"/>
      <c r="F67" s="126"/>
      <c r="G67" s="126"/>
      <c r="H67" s="126"/>
      <c r="I67" s="126"/>
      <c r="J67" s="126"/>
      <c r="K67" s="126"/>
      <c r="L67" s="126"/>
      <c r="M67" s="126"/>
      <c r="N67" s="126"/>
      <c r="O67" s="126"/>
      <c r="P67" s="126"/>
      <c r="Q67" s="126"/>
    </row>
    <row r="68" spans="2:17" ht="16.5" thickBot="1" x14ac:dyDescent="0.4">
      <c r="B68" s="296" t="s">
        <v>49</v>
      </c>
      <c r="C68" s="296"/>
      <c r="D68" s="126"/>
      <c r="E68" s="126"/>
      <c r="F68" s="126"/>
      <c r="G68" s="126"/>
      <c r="H68" s="126"/>
      <c r="I68" s="126"/>
      <c r="J68" s="126"/>
      <c r="K68" s="126"/>
      <c r="L68" s="126"/>
      <c r="M68" s="126"/>
      <c r="N68" s="126"/>
      <c r="O68" s="126"/>
      <c r="P68" s="126"/>
      <c r="Q68" s="126"/>
    </row>
    <row r="69" spans="2:17" ht="16.5" thickTop="1" x14ac:dyDescent="0.35">
      <c r="B69" s="345" t="s">
        <v>344</v>
      </c>
      <c r="C69" s="618">
        <f>VehicleLoan</f>
        <v>0</v>
      </c>
      <c r="D69" s="126"/>
      <c r="E69" s="126"/>
      <c r="F69" s="126"/>
      <c r="G69" s="126"/>
      <c r="H69" s="126"/>
      <c r="I69" s="126"/>
      <c r="J69" s="126"/>
      <c r="K69" s="126"/>
      <c r="L69" s="126"/>
      <c r="M69" s="126"/>
      <c r="N69" s="126"/>
      <c r="O69" s="126"/>
      <c r="P69" s="126"/>
      <c r="Q69" s="126"/>
    </row>
    <row r="70" spans="2:17" x14ac:dyDescent="0.35">
      <c r="B70" s="145" t="s">
        <v>345</v>
      </c>
      <c r="C70" s="619">
        <f>'1-StartingPoint'!E40</f>
        <v>0.06</v>
      </c>
      <c r="D70" s="126"/>
      <c r="E70" s="126"/>
      <c r="F70" s="126"/>
      <c r="G70" s="126"/>
      <c r="H70" s="126"/>
      <c r="I70" s="126"/>
      <c r="J70" s="126"/>
      <c r="K70" s="126"/>
      <c r="L70" s="126"/>
      <c r="M70" s="126"/>
      <c r="N70" s="126"/>
      <c r="O70" s="126"/>
      <c r="P70" s="126"/>
      <c r="Q70" s="126"/>
    </row>
    <row r="71" spans="2:17" x14ac:dyDescent="0.35">
      <c r="B71" s="145" t="s">
        <v>346</v>
      </c>
      <c r="C71" s="620">
        <f>'1-StartingPoint'!F40</f>
        <v>48</v>
      </c>
      <c r="D71" s="126"/>
      <c r="E71" s="126"/>
      <c r="F71" s="126"/>
      <c r="G71" s="126"/>
      <c r="H71" s="126"/>
      <c r="I71" s="126"/>
      <c r="J71" s="126"/>
      <c r="K71" s="126"/>
      <c r="L71" s="126"/>
      <c r="M71" s="126"/>
      <c r="N71" s="126"/>
      <c r="O71" s="126"/>
      <c r="P71" s="126"/>
      <c r="Q71" s="126"/>
    </row>
    <row r="72" spans="2:17" x14ac:dyDescent="0.35">
      <c r="B72" s="145" t="s">
        <v>347</v>
      </c>
      <c r="C72" s="621">
        <f>ABS(PMT(C70/12,C71,C69))</f>
        <v>0</v>
      </c>
      <c r="D72" s="126"/>
      <c r="E72" s="126"/>
      <c r="F72" s="126"/>
      <c r="G72" s="126"/>
      <c r="H72" s="126"/>
      <c r="I72" s="126"/>
      <c r="J72" s="126"/>
      <c r="K72" s="126"/>
      <c r="L72" s="126"/>
      <c r="M72" s="126"/>
      <c r="N72" s="126"/>
      <c r="O72" s="126"/>
      <c r="P72" s="126"/>
      <c r="Q72" s="126"/>
    </row>
    <row r="73" spans="2:17" x14ac:dyDescent="0.35">
      <c r="B73" s="145"/>
      <c r="C73" s="612" t="str">
        <f>'3a-SalesForecastYear1'!$C$16</f>
        <v>Month 1</v>
      </c>
      <c r="D73" s="612" t="str">
        <f>'3a-SalesForecastYear1'!$D$16</f>
        <v>Month 2</v>
      </c>
      <c r="E73" s="612" t="str">
        <f>'3a-SalesForecastYear1'!$E$16</f>
        <v>Month 3</v>
      </c>
      <c r="F73" s="612" t="str">
        <f>'3a-SalesForecastYear1'!$F$16</f>
        <v>Month 4</v>
      </c>
      <c r="G73" s="612" t="str">
        <f>'3a-SalesForecastYear1'!$G$16</f>
        <v>Month 5</v>
      </c>
      <c r="H73" s="612" t="str">
        <f>'3a-SalesForecastYear1'!$H$16</f>
        <v>Month 6</v>
      </c>
      <c r="I73" s="612" t="str">
        <f>'3a-SalesForecastYear1'!$I$16</f>
        <v>Month 7</v>
      </c>
      <c r="J73" s="612" t="str">
        <f>'3a-SalesForecastYear1'!$J$16</f>
        <v>Month 8</v>
      </c>
      <c r="K73" s="612" t="str">
        <f>'3a-SalesForecastYear1'!$K$16</f>
        <v>Month 9</v>
      </c>
      <c r="L73" s="612" t="str">
        <f>'3a-SalesForecastYear1'!$L$16</f>
        <v>Month 10</v>
      </c>
      <c r="M73" s="612" t="str">
        <f>'3a-SalesForecastYear1'!$M$16</f>
        <v>Month 11</v>
      </c>
      <c r="N73" s="612" t="str">
        <f>'3a-SalesForecastYear1'!$N$16</f>
        <v>Month 12</v>
      </c>
      <c r="O73" s="612" t="s">
        <v>38</v>
      </c>
      <c r="P73" s="126"/>
      <c r="Q73" s="126"/>
    </row>
    <row r="74" spans="2:17" x14ac:dyDescent="0.35">
      <c r="B74" s="145" t="s">
        <v>269</v>
      </c>
      <c r="C74" s="138"/>
      <c r="D74" s="138"/>
      <c r="E74" s="138"/>
      <c r="F74" s="138"/>
      <c r="G74" s="138"/>
      <c r="H74" s="138"/>
      <c r="I74" s="138"/>
      <c r="J74" s="138"/>
      <c r="K74" s="138"/>
      <c r="L74" s="138"/>
      <c r="M74" s="138"/>
      <c r="N74" s="138"/>
      <c r="O74" s="138"/>
      <c r="P74" s="126"/>
      <c r="Q74" s="126"/>
    </row>
    <row r="75" spans="2:17" x14ac:dyDescent="0.35">
      <c r="B75" s="622" t="s">
        <v>160</v>
      </c>
      <c r="C75" s="442">
        <f>ABS(IPMT($C$70/12,1,$C$71,$C$69))</f>
        <v>0</v>
      </c>
      <c r="D75" s="442">
        <f>ABS(IPMT($C$70/12,2,$C$71,$C$69))</f>
        <v>0</v>
      </c>
      <c r="E75" s="442">
        <f>ABS(IPMT($C$70/12,3,$C$71,$C$69))</f>
        <v>0</v>
      </c>
      <c r="F75" s="442">
        <f>ABS(IPMT($C$70/12,4,$C$71,$C$69))</f>
        <v>0</v>
      </c>
      <c r="G75" s="442">
        <f>ABS(IPMT($C$70/12,5,$C$71,$C$69))</f>
        <v>0</v>
      </c>
      <c r="H75" s="442">
        <f>ABS(IPMT($C$70/12,6,$C$71,$C$69))</f>
        <v>0</v>
      </c>
      <c r="I75" s="442">
        <f>ABS(IPMT($C$70/12,7,$C$71,$C$69))</f>
        <v>0</v>
      </c>
      <c r="J75" s="442">
        <f>ABS(IPMT($C$70/12,8,$C$71,$C$69))</f>
        <v>0</v>
      </c>
      <c r="K75" s="442">
        <f>ABS(IPMT($C$70/12,9,$C$71,$C$69))</f>
        <v>0</v>
      </c>
      <c r="L75" s="442">
        <f>ABS(IPMT($C$70/12,10,$C$71,$C$69))</f>
        <v>0</v>
      </c>
      <c r="M75" s="442">
        <f>ABS(IPMT($C$70/12,11,$C$71,$C$69))</f>
        <v>0</v>
      </c>
      <c r="N75" s="442">
        <f>ABS(IPMT($C$70/12,12,$C$71,$C$69))</f>
        <v>0</v>
      </c>
      <c r="O75" s="613">
        <f>SUM(C75:N75)</f>
        <v>0</v>
      </c>
      <c r="P75" s="126"/>
      <c r="Q75" s="126"/>
    </row>
    <row r="76" spans="2:17" x14ac:dyDescent="0.35">
      <c r="B76" s="622" t="s">
        <v>348</v>
      </c>
      <c r="C76" s="442">
        <f>ABS(PPMT($C$70/12,1,$C$71,$C$69))</f>
        <v>0</v>
      </c>
      <c r="D76" s="442">
        <f>ABS(PPMT($C$70/12,2,$C$71,$C$69))</f>
        <v>0</v>
      </c>
      <c r="E76" s="442">
        <f>ABS(PPMT($C$70/12,3,$C$71,$C$69))</f>
        <v>0</v>
      </c>
      <c r="F76" s="442">
        <f>ABS(PPMT($C$70/12,4,$C$71,$C$69))</f>
        <v>0</v>
      </c>
      <c r="G76" s="442">
        <f>ABS(PPMT($C$70/12,5,$C$71,$C$69))</f>
        <v>0</v>
      </c>
      <c r="H76" s="442">
        <f>ABS(PPMT($C$70/12,6,$C$71,$C$69))</f>
        <v>0</v>
      </c>
      <c r="I76" s="442">
        <f>ABS(PPMT($C$70/12,7,$C$71,$C$69))</f>
        <v>0</v>
      </c>
      <c r="J76" s="442">
        <f>ABS(PPMT($C$70/12,8,$C$71,$C$69))</f>
        <v>0</v>
      </c>
      <c r="K76" s="442">
        <f>ABS(PPMT($C$70/12,9,$C$71,$C$69))</f>
        <v>0</v>
      </c>
      <c r="L76" s="442">
        <f>ABS(PPMT($C$70/12,10,$C$71,$C$69))</f>
        <v>0</v>
      </c>
      <c r="M76" s="442">
        <f>ABS(PPMT($C$70/12,11,$C$71,$C$69))</f>
        <v>0</v>
      </c>
      <c r="N76" s="442">
        <f>ABS(PPMT($C$70/12,12,$C$71,$C$69))</f>
        <v>0</v>
      </c>
      <c r="O76" s="613">
        <f>SUM(C76:N76)</f>
        <v>0</v>
      </c>
      <c r="P76" s="126"/>
      <c r="Q76" s="126"/>
    </row>
    <row r="77" spans="2:17" x14ac:dyDescent="0.35">
      <c r="B77" s="567" t="s">
        <v>349</v>
      </c>
      <c r="C77" s="614">
        <f>$C$69-C76</f>
        <v>0</v>
      </c>
      <c r="D77" s="614">
        <f t="shared" ref="D77:N77" si="9">C77-D76</f>
        <v>0</v>
      </c>
      <c r="E77" s="614">
        <f t="shared" si="9"/>
        <v>0</v>
      </c>
      <c r="F77" s="614">
        <f t="shared" si="9"/>
        <v>0</v>
      </c>
      <c r="G77" s="614">
        <f t="shared" si="9"/>
        <v>0</v>
      </c>
      <c r="H77" s="614">
        <f t="shared" si="9"/>
        <v>0</v>
      </c>
      <c r="I77" s="614">
        <f t="shared" si="9"/>
        <v>0</v>
      </c>
      <c r="J77" s="614">
        <f t="shared" si="9"/>
        <v>0</v>
      </c>
      <c r="K77" s="614">
        <f t="shared" si="9"/>
        <v>0</v>
      </c>
      <c r="L77" s="614">
        <f t="shared" si="9"/>
        <v>0</v>
      </c>
      <c r="M77" s="614">
        <f t="shared" si="9"/>
        <v>0</v>
      </c>
      <c r="N77" s="614">
        <f t="shared" si="9"/>
        <v>0</v>
      </c>
      <c r="O77" s="615"/>
      <c r="P77" s="126"/>
      <c r="Q77" s="126"/>
    </row>
    <row r="78" spans="2:17" x14ac:dyDescent="0.35">
      <c r="B78" s="145" t="s">
        <v>270</v>
      </c>
      <c r="C78" s="616"/>
      <c r="D78" s="616"/>
      <c r="E78" s="616"/>
      <c r="F78" s="616"/>
      <c r="G78" s="616"/>
      <c r="H78" s="616"/>
      <c r="I78" s="616"/>
      <c r="J78" s="616"/>
      <c r="K78" s="616"/>
      <c r="L78" s="616"/>
      <c r="M78" s="616"/>
      <c r="N78" s="616"/>
      <c r="O78" s="616"/>
      <c r="P78" s="126"/>
      <c r="Q78" s="126"/>
    </row>
    <row r="79" spans="2:17" x14ac:dyDescent="0.35">
      <c r="B79" s="567" t="s">
        <v>160</v>
      </c>
      <c r="C79" s="442">
        <f>IF($C$71&lt;13,0,ABS(IPMT($C$70/12,13,$C$71,$C$69)))</f>
        <v>0</v>
      </c>
      <c r="D79" s="442">
        <f>IF($C$71&lt;14,0,ABS(IPMT($C$70/12,14,$C$71,$C$69)))</f>
        <v>0</v>
      </c>
      <c r="E79" s="442">
        <f>IF($C$71&lt;15,0,ABS(IPMT($C$70/12,15,$C$71,$C$69)))</f>
        <v>0</v>
      </c>
      <c r="F79" s="442">
        <f>IF($C$71&lt;16,0,ABS(IPMT($C$70/12,16,$C$71,$C$69)))</f>
        <v>0</v>
      </c>
      <c r="G79" s="442">
        <f>IF($C$71&lt;17,0,ABS(IPMT($C$70/12,17,$C$71,$C$69)))</f>
        <v>0</v>
      </c>
      <c r="H79" s="442">
        <f>IF($C$71&lt;18,0,ABS(IPMT($C$70/12,18,$C$71,$C$69)))</f>
        <v>0</v>
      </c>
      <c r="I79" s="442">
        <f>IF($C$71&lt;19,0,ABS(IPMT($C$70/12,19,$C$71,$C$69)))</f>
        <v>0</v>
      </c>
      <c r="J79" s="442">
        <f>IF($C$71&lt;20,0,ABS(IPMT($C$70/12,20,$C$71,$C$69)))</f>
        <v>0</v>
      </c>
      <c r="K79" s="442">
        <f>IF($C$71&lt;21,0,ABS(IPMT($C$70/12,21,$C$71,$C$69)))</f>
        <v>0</v>
      </c>
      <c r="L79" s="442">
        <f>IF($C$71&lt;22,0,ABS(IPMT($C$70/12,22,$C$71,$C$69)))</f>
        <v>0</v>
      </c>
      <c r="M79" s="442">
        <f>IF($C$71&lt;23,0,ABS(IPMT($C$70/12,23,$C$71,$C$69)))</f>
        <v>0</v>
      </c>
      <c r="N79" s="442">
        <f>IF($C$71&lt;24,0,ABS(IPMT($C$70/12,24,$C$71,$C$69)))</f>
        <v>0</v>
      </c>
      <c r="O79" s="613">
        <f>SUM(C79:N79)</f>
        <v>0</v>
      </c>
      <c r="P79" s="126"/>
      <c r="Q79" s="126"/>
    </row>
    <row r="80" spans="2:17" x14ac:dyDescent="0.35">
      <c r="B80" s="567" t="s">
        <v>348</v>
      </c>
      <c r="C80" s="442">
        <f>IF($C$71&lt;13,0,ABS(PPMT($C$70/12,13,$C$71,$C$69)))</f>
        <v>0</v>
      </c>
      <c r="D80" s="442">
        <f>IF($C$71&lt;14,0,ABS(PPMT($C$70/12,14,$C$71,$C$69)))</f>
        <v>0</v>
      </c>
      <c r="E80" s="442">
        <f>IF($C$71&lt;15,0,ABS(PPMT($C$70/12,15,$C$71,$C$69)))</f>
        <v>0</v>
      </c>
      <c r="F80" s="442">
        <f>IF($C$71&lt;16,0,ABS(PPMT($C$70/12,16,$C$71,$C$69)))</f>
        <v>0</v>
      </c>
      <c r="G80" s="442">
        <f>IF($C$71&lt;17,0,ABS(PPMT($C$70/12,17,$C$71,$C$69)))</f>
        <v>0</v>
      </c>
      <c r="H80" s="442">
        <f>IF($C$71&lt;18,0,ABS(PPMT($C$70/12,18,$C$71,$C$69)))</f>
        <v>0</v>
      </c>
      <c r="I80" s="442">
        <f>IF($C$71&lt;19,0,ABS(PPMT($C$70/12,19,$C$71,$C$69)))</f>
        <v>0</v>
      </c>
      <c r="J80" s="442">
        <f>IF($C$71&lt;20,0,ABS(PPMT($C$70/12,20,$C$71,$C$69)))</f>
        <v>0</v>
      </c>
      <c r="K80" s="442">
        <f>IF($C$71&lt;21,0,ABS(PPMT($C$70/12,21,$C$71,$C$69)))</f>
        <v>0</v>
      </c>
      <c r="L80" s="442">
        <f>IF($C$71&lt;22,0,ABS(PPMT($C$70/12,22,$C$71,$C$69)))</f>
        <v>0</v>
      </c>
      <c r="M80" s="442">
        <f>IF($C$71&lt;23,0,ABS(PPMT($C$70/12,23,$C$71,$C$69)))</f>
        <v>0</v>
      </c>
      <c r="N80" s="442">
        <f>IF($C$71&lt;24,0,ABS(PPMT($C$70/12,24,$C$71,$C$69)))</f>
        <v>0</v>
      </c>
      <c r="O80" s="613">
        <f>SUM(C80:N80)</f>
        <v>0</v>
      </c>
      <c r="P80" s="126"/>
      <c r="Q80" s="126"/>
    </row>
    <row r="81" spans="2:17" x14ac:dyDescent="0.35">
      <c r="B81" s="567" t="s">
        <v>349</v>
      </c>
      <c r="C81" s="614">
        <f>N77-C80</f>
        <v>0</v>
      </c>
      <c r="D81" s="614">
        <f t="shared" ref="D81:N81" si="10">C81-D80</f>
        <v>0</v>
      </c>
      <c r="E81" s="614">
        <f t="shared" si="10"/>
        <v>0</v>
      </c>
      <c r="F81" s="614">
        <f t="shared" si="10"/>
        <v>0</v>
      </c>
      <c r="G81" s="614">
        <f t="shared" si="10"/>
        <v>0</v>
      </c>
      <c r="H81" s="614">
        <f t="shared" si="10"/>
        <v>0</v>
      </c>
      <c r="I81" s="614">
        <f t="shared" si="10"/>
        <v>0</v>
      </c>
      <c r="J81" s="614">
        <f t="shared" si="10"/>
        <v>0</v>
      </c>
      <c r="K81" s="614">
        <f t="shared" si="10"/>
        <v>0</v>
      </c>
      <c r="L81" s="614">
        <f t="shared" si="10"/>
        <v>0</v>
      </c>
      <c r="M81" s="614">
        <f t="shared" si="10"/>
        <v>0</v>
      </c>
      <c r="N81" s="614">
        <f t="shared" si="10"/>
        <v>0</v>
      </c>
      <c r="O81" s="615"/>
      <c r="P81" s="126"/>
      <c r="Q81" s="126"/>
    </row>
    <row r="82" spans="2:17" x14ac:dyDescent="0.35">
      <c r="B82" s="145" t="s">
        <v>271</v>
      </c>
      <c r="C82" s="616"/>
      <c r="D82" s="616"/>
      <c r="E82" s="616"/>
      <c r="F82" s="616"/>
      <c r="G82" s="616"/>
      <c r="H82" s="616"/>
      <c r="I82" s="616"/>
      <c r="J82" s="616"/>
      <c r="K82" s="616"/>
      <c r="L82" s="616"/>
      <c r="M82" s="616"/>
      <c r="N82" s="616"/>
      <c r="O82" s="616"/>
      <c r="P82" s="126"/>
      <c r="Q82" s="126"/>
    </row>
    <row r="83" spans="2:17" x14ac:dyDescent="0.35">
      <c r="B83" s="567" t="s">
        <v>160</v>
      </c>
      <c r="C83" s="442">
        <f>IF($C$71&lt;25,0,ABS(IPMT($C$70/12,25,$C$71,$C$69)))</f>
        <v>0</v>
      </c>
      <c r="D83" s="442">
        <f>IF($C$71&lt;26,0,ABS(IPMT($C$70/12,26,$C$71,$C$69)))</f>
        <v>0</v>
      </c>
      <c r="E83" s="442">
        <f>IF($C$71&lt;27,0,ABS(IPMT($C$70/12,27,$C$71,$C$69)))</f>
        <v>0</v>
      </c>
      <c r="F83" s="442">
        <f>IF($C$71&lt;28,0,ABS(IPMT($C$70/12,28,$C$71,$C$69)))</f>
        <v>0</v>
      </c>
      <c r="G83" s="442">
        <f>IF($C$71&lt;29,0,ABS(IPMT($C$70/12,29,$C$71,$C$69)))</f>
        <v>0</v>
      </c>
      <c r="H83" s="442">
        <f>IF($C$71&lt;30,0,ABS(IPMT($C$70/12,30,$C$71,$C$69)))</f>
        <v>0</v>
      </c>
      <c r="I83" s="442">
        <f>IF($C$71&lt;31,0,ABS(IPMT($C$70/12,31,$C$71,$C$69)))</f>
        <v>0</v>
      </c>
      <c r="J83" s="442">
        <f>IF($C$71&lt;32,0,ABS(IPMT($C$70/12,32,$C$71,$C$69)))</f>
        <v>0</v>
      </c>
      <c r="K83" s="442">
        <f>IF($C$71&lt;33,0,ABS(IPMT($C$70/12,33,$C$71,$C$69)))</f>
        <v>0</v>
      </c>
      <c r="L83" s="442">
        <f>IF($C$71&lt;34,0,ABS(IPMT($C$70/12,34,$C$71,$C$69)))</f>
        <v>0</v>
      </c>
      <c r="M83" s="442">
        <f>IF($C$71&lt;34,0,ABS(IPMT($C$70/12,35,$C$71,$C$69)))</f>
        <v>0</v>
      </c>
      <c r="N83" s="442">
        <f>IF($C$71&lt;36,0,ABS(IPMT($C$70/12,36,$C$71,$C$69)))</f>
        <v>0</v>
      </c>
      <c r="O83" s="613">
        <f>SUM(C83:N83)</f>
        <v>0</v>
      </c>
      <c r="P83" s="126"/>
      <c r="Q83" s="126"/>
    </row>
    <row r="84" spans="2:17" x14ac:dyDescent="0.35">
      <c r="B84" s="567" t="s">
        <v>348</v>
      </c>
      <c r="C84" s="442">
        <f>IF($C$71&lt;25,0,ABS(PPMT($C$70/12,25,$C$71,$C$69)))</f>
        <v>0</v>
      </c>
      <c r="D84" s="442">
        <f>IF($C$71&lt;26,0,ABS(PPMT($C$70/12,26,$C$71,$C$69)))</f>
        <v>0</v>
      </c>
      <c r="E84" s="442">
        <f>IF($C$71&lt;27,0,ABS(PPMT($C$70/12,27,$C$71,$C$69)))</f>
        <v>0</v>
      </c>
      <c r="F84" s="442">
        <f>IF($C$71&lt;28,0,ABS(PPMT($C$70/12,28,$C$71,$C$69)))</f>
        <v>0</v>
      </c>
      <c r="G84" s="442">
        <f>IF($C$71&lt;29,0,ABS(PPMT($C$70/12,29,$C$71,$C$69)))</f>
        <v>0</v>
      </c>
      <c r="H84" s="442">
        <f>IF($C$71&lt;30,0,ABS(PPMT($C$70/12,30,$C$71,$C$69)))</f>
        <v>0</v>
      </c>
      <c r="I84" s="442">
        <f>IF($C$71&lt;31,0,ABS(PPMT($C$70/12,31,$C$71,$C$69)))</f>
        <v>0</v>
      </c>
      <c r="J84" s="442">
        <f>IF($C$71&lt;32,0,ABS(PPMT($C$70/12,32,$C$71,$C$69)))</f>
        <v>0</v>
      </c>
      <c r="K84" s="442">
        <f>IF($C$71&lt;33,0,ABS(PPMT($C$70/12,33,$C$71,$C$69)))</f>
        <v>0</v>
      </c>
      <c r="L84" s="442">
        <f>IF($C$71&lt;34,0,ABS(PPMT($C$70/12,34,$C$71,$C$69)))</f>
        <v>0</v>
      </c>
      <c r="M84" s="442">
        <f>ABS(PPMT($C$70/12,35,$C$71,$C$69))</f>
        <v>0</v>
      </c>
      <c r="N84" s="442">
        <f>IF($C$71&lt;36,0,ABS(PPMT($C$70/12,36,$C$71,$C$69)))</f>
        <v>0</v>
      </c>
      <c r="O84" s="613">
        <f>SUM(C84:N84)</f>
        <v>0</v>
      </c>
      <c r="P84" s="126"/>
      <c r="Q84" s="126"/>
    </row>
    <row r="85" spans="2:17" x14ac:dyDescent="0.35">
      <c r="B85" s="567" t="s">
        <v>349</v>
      </c>
      <c r="C85" s="614">
        <f>N81-C84</f>
        <v>0</v>
      </c>
      <c r="D85" s="614">
        <f t="shared" ref="D85:N85" si="11">C85-D84</f>
        <v>0</v>
      </c>
      <c r="E85" s="614">
        <f t="shared" si="11"/>
        <v>0</v>
      </c>
      <c r="F85" s="614">
        <f t="shared" si="11"/>
        <v>0</v>
      </c>
      <c r="G85" s="614">
        <f t="shared" si="11"/>
        <v>0</v>
      </c>
      <c r="H85" s="614">
        <f t="shared" si="11"/>
        <v>0</v>
      </c>
      <c r="I85" s="614">
        <f t="shared" si="11"/>
        <v>0</v>
      </c>
      <c r="J85" s="614">
        <f t="shared" si="11"/>
        <v>0</v>
      </c>
      <c r="K85" s="614">
        <f t="shared" si="11"/>
        <v>0</v>
      </c>
      <c r="L85" s="614">
        <f t="shared" si="11"/>
        <v>0</v>
      </c>
      <c r="M85" s="614">
        <f t="shared" si="11"/>
        <v>0</v>
      </c>
      <c r="N85" s="614">
        <f t="shared" si="11"/>
        <v>0</v>
      </c>
      <c r="O85" s="615"/>
      <c r="P85" s="126"/>
      <c r="Q85" s="126"/>
    </row>
    <row r="86" spans="2:17" x14ac:dyDescent="0.35">
      <c r="B86" s="117"/>
      <c r="C86" s="117"/>
      <c r="D86" s="126"/>
      <c r="E86" s="126"/>
      <c r="F86" s="126"/>
      <c r="G86" s="126"/>
      <c r="H86" s="126"/>
      <c r="I86" s="126"/>
      <c r="J86" s="126"/>
      <c r="K86" s="126"/>
      <c r="L86" s="126"/>
      <c r="M86" s="126"/>
      <c r="N86" s="126"/>
      <c r="O86" s="126"/>
      <c r="P86" s="126"/>
      <c r="Q86" s="126"/>
    </row>
    <row r="87" spans="2:17" x14ac:dyDescent="0.35">
      <c r="B87" s="117"/>
      <c r="C87" s="117"/>
      <c r="D87" s="126"/>
      <c r="E87" s="126"/>
      <c r="F87" s="126"/>
      <c r="G87" s="126"/>
      <c r="H87" s="126"/>
      <c r="I87" s="126"/>
      <c r="J87" s="126"/>
      <c r="K87" s="126"/>
      <c r="L87" s="126"/>
      <c r="M87" s="126"/>
      <c r="N87" s="126"/>
      <c r="O87" s="126"/>
      <c r="P87" s="126"/>
      <c r="Q87" s="126"/>
    </row>
    <row r="88" spans="2:17" ht="16.5" thickBot="1" x14ac:dyDescent="0.4">
      <c r="B88" s="296" t="s">
        <v>50</v>
      </c>
      <c r="C88" s="296"/>
      <c r="D88" s="126"/>
      <c r="E88" s="126"/>
      <c r="F88" s="126"/>
      <c r="G88" s="126"/>
      <c r="H88" s="126"/>
      <c r="I88" s="126"/>
      <c r="J88" s="126"/>
      <c r="K88" s="126"/>
      <c r="L88" s="126"/>
      <c r="M88" s="126"/>
      <c r="N88" s="126"/>
      <c r="O88" s="126"/>
      <c r="P88" s="126"/>
      <c r="Q88" s="126"/>
    </row>
    <row r="89" spans="2:17" ht="16.5" thickTop="1" x14ac:dyDescent="0.35">
      <c r="B89" s="345" t="s">
        <v>344</v>
      </c>
      <c r="C89" s="623">
        <f>OtherBankDebt</f>
        <v>0</v>
      </c>
      <c r="D89" s="126"/>
      <c r="E89" s="126"/>
      <c r="F89" s="126"/>
      <c r="G89" s="126"/>
      <c r="H89" s="126"/>
      <c r="I89" s="126"/>
      <c r="J89" s="126"/>
      <c r="K89" s="126"/>
      <c r="L89" s="126"/>
      <c r="M89" s="126"/>
      <c r="N89" s="126"/>
      <c r="O89" s="126"/>
      <c r="P89" s="126"/>
      <c r="Q89" s="126"/>
    </row>
    <row r="90" spans="2:17" x14ac:dyDescent="0.35">
      <c r="B90" s="145" t="s">
        <v>345</v>
      </c>
      <c r="C90" s="619">
        <f>'1-StartingPoint'!E41</f>
        <v>0.05</v>
      </c>
      <c r="D90" s="126"/>
      <c r="E90" s="126"/>
      <c r="F90" s="126"/>
      <c r="G90" s="126"/>
      <c r="H90" s="126"/>
      <c r="I90" s="126"/>
      <c r="J90" s="126"/>
      <c r="K90" s="126"/>
      <c r="L90" s="126"/>
      <c r="M90" s="126"/>
      <c r="N90" s="126"/>
      <c r="O90" s="126"/>
      <c r="P90" s="126"/>
      <c r="Q90" s="126"/>
    </row>
    <row r="91" spans="2:17" x14ac:dyDescent="0.35">
      <c r="B91" s="145" t="s">
        <v>346</v>
      </c>
      <c r="C91" s="620">
        <f>'1-StartingPoint'!F41</f>
        <v>36</v>
      </c>
      <c r="D91" s="126"/>
      <c r="E91" s="126"/>
      <c r="F91" s="126"/>
      <c r="G91" s="126"/>
      <c r="H91" s="126"/>
      <c r="I91" s="126"/>
      <c r="J91" s="126"/>
      <c r="K91" s="126"/>
      <c r="L91" s="126"/>
      <c r="M91" s="126"/>
      <c r="N91" s="126"/>
      <c r="O91" s="126"/>
      <c r="P91" s="126"/>
      <c r="Q91" s="126"/>
    </row>
    <row r="92" spans="2:17" x14ac:dyDescent="0.35">
      <c r="B92" s="145" t="s">
        <v>347</v>
      </c>
      <c r="C92" s="621">
        <f>ABS(PMT(C90/12,C91,C89))</f>
        <v>0</v>
      </c>
      <c r="D92" s="126"/>
      <c r="E92" s="126"/>
      <c r="F92" s="126"/>
      <c r="G92" s="126"/>
      <c r="H92" s="126"/>
      <c r="I92" s="126"/>
      <c r="J92" s="126"/>
      <c r="K92" s="126"/>
      <c r="L92" s="126"/>
      <c r="M92" s="126"/>
      <c r="N92" s="126"/>
      <c r="O92" s="126"/>
      <c r="P92" s="126"/>
      <c r="Q92" s="126"/>
    </row>
    <row r="93" spans="2:17" x14ac:dyDescent="0.35">
      <c r="B93" s="145"/>
      <c r="C93" s="612" t="str">
        <f>'3a-SalesForecastYear1'!$C$16</f>
        <v>Month 1</v>
      </c>
      <c r="D93" s="612" t="str">
        <f>'3a-SalesForecastYear1'!$D$16</f>
        <v>Month 2</v>
      </c>
      <c r="E93" s="612" t="str">
        <f>'3a-SalesForecastYear1'!$E$16</f>
        <v>Month 3</v>
      </c>
      <c r="F93" s="612" t="str">
        <f>'3a-SalesForecastYear1'!$F$16</f>
        <v>Month 4</v>
      </c>
      <c r="G93" s="612" t="str">
        <f>'3a-SalesForecastYear1'!$G$16</f>
        <v>Month 5</v>
      </c>
      <c r="H93" s="612" t="str">
        <f>'3a-SalesForecastYear1'!$H$16</f>
        <v>Month 6</v>
      </c>
      <c r="I93" s="612" t="str">
        <f>'3a-SalesForecastYear1'!$I$16</f>
        <v>Month 7</v>
      </c>
      <c r="J93" s="612" t="str">
        <f>'3a-SalesForecastYear1'!$J$16</f>
        <v>Month 8</v>
      </c>
      <c r="K93" s="612" t="str">
        <f>'3a-SalesForecastYear1'!$K$16</f>
        <v>Month 9</v>
      </c>
      <c r="L93" s="612" t="str">
        <f>'3a-SalesForecastYear1'!$L$16</f>
        <v>Month 10</v>
      </c>
      <c r="M93" s="612" t="str">
        <f>'3a-SalesForecastYear1'!$M$16</f>
        <v>Month 11</v>
      </c>
      <c r="N93" s="612" t="str">
        <f>'3a-SalesForecastYear1'!$N$16</f>
        <v>Month 12</v>
      </c>
      <c r="O93" s="612" t="s">
        <v>38</v>
      </c>
      <c r="P93" s="126"/>
      <c r="Q93" s="126"/>
    </row>
    <row r="94" spans="2:17" x14ac:dyDescent="0.35">
      <c r="B94" s="145" t="s">
        <v>269</v>
      </c>
      <c r="C94" s="138"/>
      <c r="D94" s="138"/>
      <c r="E94" s="138"/>
      <c r="F94" s="138"/>
      <c r="G94" s="138"/>
      <c r="H94" s="138"/>
      <c r="I94" s="138"/>
      <c r="J94" s="138"/>
      <c r="K94" s="138"/>
      <c r="L94" s="138"/>
      <c r="M94" s="138"/>
      <c r="N94" s="138"/>
      <c r="O94" s="138"/>
      <c r="P94" s="126"/>
      <c r="Q94" s="126"/>
    </row>
    <row r="95" spans="2:17" x14ac:dyDescent="0.35">
      <c r="B95" s="567" t="s">
        <v>160</v>
      </c>
      <c r="C95" s="442">
        <f>ABS(IPMT($C$90/12,1,$C$91,$C$89))</f>
        <v>0</v>
      </c>
      <c r="D95" s="442">
        <f>ABS(IPMT($C$90/12,2,$C$91,$C$89))</f>
        <v>0</v>
      </c>
      <c r="E95" s="442">
        <f>ABS(IPMT($C$90/12,3,$C$91,$C$89))</f>
        <v>0</v>
      </c>
      <c r="F95" s="442">
        <f>ABS(IPMT($C$90/12,4,$C$91,$C$89))</f>
        <v>0</v>
      </c>
      <c r="G95" s="442">
        <f>ABS(IPMT($C$90/12,5,$C$91,$C$89))</f>
        <v>0</v>
      </c>
      <c r="H95" s="442">
        <f>ABS(IPMT($C$90/12,6,$C$91,$C$89))</f>
        <v>0</v>
      </c>
      <c r="I95" s="442">
        <f>ABS(IPMT($C$90/12,7,$C$91,$C$89))</f>
        <v>0</v>
      </c>
      <c r="J95" s="442">
        <f>ABS(IPMT($C$90/12,8,$C$91,$C$89))</f>
        <v>0</v>
      </c>
      <c r="K95" s="442">
        <f>ABS(IPMT($C$90/12,9,$C$91,$C$89))</f>
        <v>0</v>
      </c>
      <c r="L95" s="442">
        <f>ABS(IPMT($C$90/12,10,$C$91,$C$89))</f>
        <v>0</v>
      </c>
      <c r="M95" s="442">
        <f>ABS(IPMT($C$90/12,11,$C$91,$C$89))</f>
        <v>0</v>
      </c>
      <c r="N95" s="442">
        <f>ABS(IPMT($C$90/12,12,$C$91,$C$89))</f>
        <v>0</v>
      </c>
      <c r="O95" s="613">
        <f>SUM(C95:N95)</f>
        <v>0</v>
      </c>
      <c r="P95" s="126"/>
      <c r="Q95" s="126"/>
    </row>
    <row r="96" spans="2:17" x14ac:dyDescent="0.35">
      <c r="B96" s="567" t="s">
        <v>348</v>
      </c>
      <c r="C96" s="442">
        <f>ABS(PPMT($C$90/12,1,$C$91,$C$89))</f>
        <v>0</v>
      </c>
      <c r="D96" s="442">
        <f>ABS(PPMT($C$90/12,2,$C$91,$C$89))</f>
        <v>0</v>
      </c>
      <c r="E96" s="442">
        <f>ABS(PPMT($C$90/12,3,$C$91,$C$89))</f>
        <v>0</v>
      </c>
      <c r="F96" s="442">
        <f>ABS(PPMT($C$90/12,4,$C$91,$C$89))</f>
        <v>0</v>
      </c>
      <c r="G96" s="442">
        <f>ABS(PPMT($C$90/12,5,$C$91,$C$89))</f>
        <v>0</v>
      </c>
      <c r="H96" s="442">
        <f>ABS(PPMT($C$90/12,6,$C$91,$C$89))</f>
        <v>0</v>
      </c>
      <c r="I96" s="442">
        <f>ABS(PPMT($C$90/12,7,$C$91,$C$89))</f>
        <v>0</v>
      </c>
      <c r="J96" s="442">
        <f>ABS(PPMT($C$90/12,8,$C$91,$C$89))</f>
        <v>0</v>
      </c>
      <c r="K96" s="442">
        <f>ABS(PPMT($C$90/12,9,$C$91,$C$89))</f>
        <v>0</v>
      </c>
      <c r="L96" s="442">
        <f>ABS(PPMT($C$90/12,10,$C$91,$C$89))</f>
        <v>0</v>
      </c>
      <c r="M96" s="442">
        <f>ABS(PPMT($C$90/12,11,$C$91,$C$89))</f>
        <v>0</v>
      </c>
      <c r="N96" s="442">
        <f>ABS(PPMT($C$90/12,12,$C$91,$C$89))</f>
        <v>0</v>
      </c>
      <c r="O96" s="613">
        <f>SUM(C96:N96)</f>
        <v>0</v>
      </c>
      <c r="P96" s="126"/>
      <c r="Q96" s="126"/>
    </row>
    <row r="97" spans="2:17" x14ac:dyDescent="0.35">
      <c r="B97" s="567" t="s">
        <v>349</v>
      </c>
      <c r="C97" s="614">
        <f>$C$89-C96</f>
        <v>0</v>
      </c>
      <c r="D97" s="614">
        <f t="shared" ref="D97:N97" si="12">C97-D96</f>
        <v>0</v>
      </c>
      <c r="E97" s="614">
        <f t="shared" si="12"/>
        <v>0</v>
      </c>
      <c r="F97" s="614">
        <f t="shared" si="12"/>
        <v>0</v>
      </c>
      <c r="G97" s="614">
        <f t="shared" si="12"/>
        <v>0</v>
      </c>
      <c r="H97" s="614">
        <f t="shared" si="12"/>
        <v>0</v>
      </c>
      <c r="I97" s="614">
        <f t="shared" si="12"/>
        <v>0</v>
      </c>
      <c r="J97" s="614">
        <f t="shared" si="12"/>
        <v>0</v>
      </c>
      <c r="K97" s="614">
        <f t="shared" si="12"/>
        <v>0</v>
      </c>
      <c r="L97" s="614">
        <f t="shared" si="12"/>
        <v>0</v>
      </c>
      <c r="M97" s="614">
        <f t="shared" si="12"/>
        <v>0</v>
      </c>
      <c r="N97" s="614">
        <f t="shared" si="12"/>
        <v>0</v>
      </c>
      <c r="O97" s="615"/>
      <c r="P97" s="126"/>
      <c r="Q97" s="126"/>
    </row>
    <row r="98" spans="2:17" x14ac:dyDescent="0.35">
      <c r="B98" s="145" t="s">
        <v>270</v>
      </c>
      <c r="C98" s="616"/>
      <c r="D98" s="616"/>
      <c r="E98" s="616"/>
      <c r="F98" s="616"/>
      <c r="G98" s="616"/>
      <c r="H98" s="616"/>
      <c r="I98" s="616"/>
      <c r="J98" s="616"/>
      <c r="K98" s="616"/>
      <c r="L98" s="616"/>
      <c r="M98" s="616"/>
      <c r="N98" s="616"/>
      <c r="O98" s="616"/>
      <c r="P98" s="126"/>
      <c r="Q98" s="126"/>
    </row>
    <row r="99" spans="2:17" x14ac:dyDescent="0.35">
      <c r="B99" s="567" t="s">
        <v>160</v>
      </c>
      <c r="C99" s="442">
        <f>IF($C$91&lt;13,0,ABS(IPMT($C$90/12,13,$C$91,$C$89)))</f>
        <v>0</v>
      </c>
      <c r="D99" s="442">
        <f>IF($C$91&lt;14,0,ABS(IPMT($C$90/12,14,$C$91,$C$89)))</f>
        <v>0</v>
      </c>
      <c r="E99" s="442">
        <f>IF($C$91&lt;15,0,ABS(IPMT($C$90/12,15,$C$91,$C$89)))</f>
        <v>0</v>
      </c>
      <c r="F99" s="442">
        <f>IF($C$91&lt;16,0,ABS(IPMT($C$90/12,16,$C$91,$C$89)))</f>
        <v>0</v>
      </c>
      <c r="G99" s="442">
        <f>IF($C$91&lt;17,0,ABS(IPMT($C$90/12,17,$C$91,$C$89)))</f>
        <v>0</v>
      </c>
      <c r="H99" s="442">
        <f>IF($C$91&lt;18,0,ABS(IPMT($C$90/12,18,$C$91,$C$89)))</f>
        <v>0</v>
      </c>
      <c r="I99" s="442">
        <f>IF($C$91&lt;19,0,ABS(IPMT($C$90/12,19,$C$91,$C$89)))</f>
        <v>0</v>
      </c>
      <c r="J99" s="442">
        <f>IF($C$91&lt;20,0,ABS(IPMT($C$90/12,20,$C$91,$C$89)))</f>
        <v>0</v>
      </c>
      <c r="K99" s="442">
        <f>IF($C$91&lt;21,0,ABS(IPMT($C$90/12,21,$C$91,$C$89)))</f>
        <v>0</v>
      </c>
      <c r="L99" s="442">
        <f>IF($C$91&lt;22,0,ABS(IPMT($C$90/12,22,$C$91,$C$89)))</f>
        <v>0</v>
      </c>
      <c r="M99" s="442">
        <f>IF($C$91&lt;23,0,ABS(IPMT($C$90/23,11,$C$91,$C$89)))</f>
        <v>0</v>
      </c>
      <c r="N99" s="442">
        <f>IF($C$91&lt;24,0,ABS(IPMT($C$90/12,24,$C$91,$C$89)))</f>
        <v>0</v>
      </c>
      <c r="O99" s="613">
        <f>SUM(C99:N99)</f>
        <v>0</v>
      </c>
      <c r="P99" s="126"/>
      <c r="Q99" s="126"/>
    </row>
    <row r="100" spans="2:17" x14ac:dyDescent="0.35">
      <c r="B100" s="567" t="s">
        <v>348</v>
      </c>
      <c r="C100" s="442">
        <f>IF($C$91&lt;13,0,ABS(PPMT($C$90/12,13,$C$91,$C$89)))</f>
        <v>0</v>
      </c>
      <c r="D100" s="442">
        <f>IF($C$91&lt;14,0,ABS(PPMT($C$90/12,14,$C$91,$C$89)))</f>
        <v>0</v>
      </c>
      <c r="E100" s="442">
        <f>IF($C$91&lt;15,0,ABS(PPMT($C$90/12,15,$C$91,$C$89)))</f>
        <v>0</v>
      </c>
      <c r="F100" s="442">
        <f>IF($C$91&lt;16,0,ABS(PPMT($C$90/12,16,$C$91,$C$89)))</f>
        <v>0</v>
      </c>
      <c r="G100" s="442">
        <f>IF($C$91&lt;17,0,ABS(PPMT($C$90/12,17,$C$91,$C$89)))</f>
        <v>0</v>
      </c>
      <c r="H100" s="442">
        <f>IF($C$91&lt;18,0,ABS(PPMT($C$90/12,18,$C$91,$C$89)))</f>
        <v>0</v>
      </c>
      <c r="I100" s="442">
        <f>IF($C$91&lt;19,0,ABS(PPMT($C$90/12,19,$C$91,$C$89)))</f>
        <v>0</v>
      </c>
      <c r="J100" s="442">
        <f>IF($C$91&lt;20,0,ABS(PPMT($C$90/12,20,$C$91,$C$89)))</f>
        <v>0</v>
      </c>
      <c r="K100" s="442">
        <f>IF($C$91&lt;21,0,ABS(PPMT($C$90/12,21,$C$91,$C$89)))</f>
        <v>0</v>
      </c>
      <c r="L100" s="442">
        <f>IF($C$91&lt;22,0,ABS(PPMT($C$90/12,22,$C$91,$C$89)))</f>
        <v>0</v>
      </c>
      <c r="M100" s="442">
        <f>IF($C$91&lt;23,0,ABS(PPMT($C$90/12,23,$C$91,$C$89)))</f>
        <v>0</v>
      </c>
      <c r="N100" s="442">
        <f>IF($C$91&lt;24,0,ABS(PPMT($C$90/12,24,$C$91,$C$89)))</f>
        <v>0</v>
      </c>
      <c r="O100" s="613">
        <f>SUM(C100:N100)</f>
        <v>0</v>
      </c>
      <c r="P100" s="126"/>
      <c r="Q100" s="126"/>
    </row>
    <row r="101" spans="2:17" x14ac:dyDescent="0.35">
      <c r="B101" s="567" t="s">
        <v>349</v>
      </c>
      <c r="C101" s="614">
        <f>N97-C100</f>
        <v>0</v>
      </c>
      <c r="D101" s="614">
        <f t="shared" ref="D101:N101" si="13">C101-D100</f>
        <v>0</v>
      </c>
      <c r="E101" s="614">
        <f t="shared" si="13"/>
        <v>0</v>
      </c>
      <c r="F101" s="614">
        <f t="shared" si="13"/>
        <v>0</v>
      </c>
      <c r="G101" s="614">
        <f t="shared" si="13"/>
        <v>0</v>
      </c>
      <c r="H101" s="614">
        <f t="shared" si="13"/>
        <v>0</v>
      </c>
      <c r="I101" s="614">
        <f t="shared" si="13"/>
        <v>0</v>
      </c>
      <c r="J101" s="614">
        <f t="shared" si="13"/>
        <v>0</v>
      </c>
      <c r="K101" s="614">
        <f t="shared" si="13"/>
        <v>0</v>
      </c>
      <c r="L101" s="614">
        <f t="shared" si="13"/>
        <v>0</v>
      </c>
      <c r="M101" s="614">
        <f t="shared" si="13"/>
        <v>0</v>
      </c>
      <c r="N101" s="614">
        <f t="shared" si="13"/>
        <v>0</v>
      </c>
      <c r="O101" s="615"/>
      <c r="P101" s="126"/>
      <c r="Q101" s="126"/>
    </row>
    <row r="102" spans="2:17" x14ac:dyDescent="0.35">
      <c r="B102" s="145" t="s">
        <v>271</v>
      </c>
      <c r="C102" s="616"/>
      <c r="D102" s="616"/>
      <c r="E102" s="616"/>
      <c r="F102" s="616"/>
      <c r="G102" s="616"/>
      <c r="H102" s="616"/>
      <c r="I102" s="616"/>
      <c r="J102" s="616"/>
      <c r="K102" s="616"/>
      <c r="L102" s="616"/>
      <c r="M102" s="616"/>
      <c r="N102" s="616"/>
      <c r="O102" s="616"/>
      <c r="P102" s="126"/>
      <c r="Q102" s="126"/>
    </row>
    <row r="103" spans="2:17" x14ac:dyDescent="0.35">
      <c r="B103" s="567" t="s">
        <v>160</v>
      </c>
      <c r="C103" s="442">
        <f>IF($C$91&lt;25,0,ABS(IPMT($C$90/12,25,$C$91,$C$89)))</f>
        <v>0</v>
      </c>
      <c r="D103" s="442">
        <f>IF($C$91&lt;26,0,ABS(IPMT($C$90/12,26,$C$91,$C$89)))</f>
        <v>0</v>
      </c>
      <c r="E103" s="442">
        <f>IF($C$91&lt;27,0,ABS(IPMT($C$90/12,27,$C$91,$C$89)))</f>
        <v>0</v>
      </c>
      <c r="F103" s="442">
        <f>IF($C$91&lt;28,0,ABS(IPMT($C$90/12,28,$C$91,$C$89)))</f>
        <v>0</v>
      </c>
      <c r="G103" s="442">
        <f>IF($C$91&lt;29,0,ABS(IPMT($C$90/12,29,$C$91,$C$89)))</f>
        <v>0</v>
      </c>
      <c r="H103" s="442">
        <f>IF($C$91&lt;30,0,ABS(IPMT($C$90/12,30,$C$91,$C$89)))</f>
        <v>0</v>
      </c>
      <c r="I103" s="442">
        <f>IF($C$91&lt;31,0,ABS(IPMT($C$90/12,31,$C$91,$C$89)))</f>
        <v>0</v>
      </c>
      <c r="J103" s="442">
        <f>IF($C$91&lt;32,0,ABS(IPMT($C$90/12,32,$C$91,$C$89)))</f>
        <v>0</v>
      </c>
      <c r="K103" s="442">
        <f>IF($C$91&lt;33,0,ABS(IPMT($C$90/12,33,$C$91,$C$89)))</f>
        <v>0</v>
      </c>
      <c r="L103" s="442">
        <f>IF($C$91&lt;34,0,ABS(IPMT($C$90/12,34,$C$91,$C$89)))</f>
        <v>0</v>
      </c>
      <c r="M103" s="442">
        <f>IF($C$91&lt;35,0,ABS(IPMT($C$90/12,35,$C$91,$C$89)))</f>
        <v>0</v>
      </c>
      <c r="N103" s="442">
        <f>IF($C$91&lt;36,0,ABS(IPMT($C$90/12,36,$C$91,$C$89)))</f>
        <v>0</v>
      </c>
      <c r="O103" s="613">
        <f>SUM(C103:N103)</f>
        <v>0</v>
      </c>
      <c r="P103" s="126"/>
      <c r="Q103" s="126"/>
    </row>
    <row r="104" spans="2:17" x14ac:dyDescent="0.35">
      <c r="B104" s="567" t="s">
        <v>348</v>
      </c>
      <c r="C104" s="442">
        <f>IF($C$91&lt;25,0,ABS(PPMT($C$90/12,25,$C$91,$C$89)))</f>
        <v>0</v>
      </c>
      <c r="D104" s="442">
        <f>IF($C$91&lt;26,0,ABS(PPMT($C$90/12,26,$C$91,$C$89)))</f>
        <v>0</v>
      </c>
      <c r="E104" s="442">
        <f>IF($C$91&lt;27,0,ABS(PPMT($C$90/12,27,$C$91,$C$89)))</f>
        <v>0</v>
      </c>
      <c r="F104" s="442">
        <f>IF($C$91&lt;28,0,ABS(PPMT($C$90/12,28,$C$91,$C$89)))</f>
        <v>0</v>
      </c>
      <c r="G104" s="442">
        <f>IF($C$91&lt;29,0,ABS(PPMT($C$90/12,29,$C$91,$C$89)))</f>
        <v>0</v>
      </c>
      <c r="H104" s="442">
        <f>IF($C$91&lt;30,0,ABS(PPMT($C$90/12,30,$C$91,$C$89)))</f>
        <v>0</v>
      </c>
      <c r="I104" s="442">
        <f>IF($C$91&lt;31,0,ABS(PPMT($C$90/12,31,$C$91,$C$89)))</f>
        <v>0</v>
      </c>
      <c r="J104" s="442">
        <f>IF($C$91&lt;32,0,ABS(PPMT($C$90/12,32,$C$91,$C$89)))</f>
        <v>0</v>
      </c>
      <c r="K104" s="442">
        <f>IF($C$91&lt;33,0,ABS(PPMT($C$90/12,33,$C$91,$C$89)))</f>
        <v>0</v>
      </c>
      <c r="L104" s="442">
        <f>IF($C$91&lt;34,0,ABS(PPMT($C$90/12,34,$C$91,$C$89)))</f>
        <v>0</v>
      </c>
      <c r="M104" s="442">
        <f>IF($C$91&lt;35,0,ABS(PPMT($C$90/12,35,$C$91,$C$89)))</f>
        <v>0</v>
      </c>
      <c r="N104" s="442">
        <f>IF($C$91&lt;36,0,ABS(PPMT($C$90/12,36,$C$91,$C$89)))</f>
        <v>0</v>
      </c>
      <c r="O104" s="613">
        <f>SUM(C104:N104)</f>
        <v>0</v>
      </c>
      <c r="P104" s="126"/>
      <c r="Q104" s="126"/>
    </row>
    <row r="105" spans="2:17" x14ac:dyDescent="0.35">
      <c r="B105" s="567" t="s">
        <v>349</v>
      </c>
      <c r="C105" s="614">
        <f>N101-C104</f>
        <v>0</v>
      </c>
      <c r="D105" s="614">
        <f t="shared" ref="D105:N105" si="14">C105-D104</f>
        <v>0</v>
      </c>
      <c r="E105" s="614">
        <f t="shared" si="14"/>
        <v>0</v>
      </c>
      <c r="F105" s="614">
        <f t="shared" si="14"/>
        <v>0</v>
      </c>
      <c r="G105" s="614">
        <f t="shared" si="14"/>
        <v>0</v>
      </c>
      <c r="H105" s="614">
        <f t="shared" si="14"/>
        <v>0</v>
      </c>
      <c r="I105" s="614">
        <f t="shared" si="14"/>
        <v>0</v>
      </c>
      <c r="J105" s="614">
        <f t="shared" si="14"/>
        <v>0</v>
      </c>
      <c r="K105" s="614">
        <f t="shared" si="14"/>
        <v>0</v>
      </c>
      <c r="L105" s="614">
        <f t="shared" si="14"/>
        <v>0</v>
      </c>
      <c r="M105" s="614">
        <f t="shared" si="14"/>
        <v>0</v>
      </c>
      <c r="N105" s="614">
        <f t="shared" si="14"/>
        <v>0</v>
      </c>
      <c r="O105" s="615"/>
      <c r="P105" s="126"/>
      <c r="Q105" s="126"/>
    </row>
    <row r="106" spans="2:17" x14ac:dyDescent="0.35">
      <c r="B106" s="117"/>
      <c r="C106" s="117"/>
      <c r="D106" s="126"/>
      <c r="E106" s="126"/>
      <c r="F106" s="126"/>
      <c r="G106" s="126"/>
      <c r="H106" s="126"/>
      <c r="I106" s="126"/>
      <c r="J106" s="126"/>
      <c r="K106" s="126"/>
      <c r="L106" s="126"/>
      <c r="M106" s="126"/>
      <c r="N106" s="126"/>
      <c r="O106" s="126"/>
      <c r="P106" s="126"/>
      <c r="Q106" s="126"/>
    </row>
    <row r="107" spans="2:17" x14ac:dyDescent="0.35">
      <c r="B107" s="126"/>
      <c r="C107" s="126"/>
      <c r="D107" s="126"/>
      <c r="E107" s="126"/>
      <c r="F107" s="126"/>
      <c r="G107" s="126"/>
      <c r="H107" s="126"/>
      <c r="I107" s="126"/>
      <c r="J107" s="126"/>
      <c r="K107" s="126"/>
      <c r="L107" s="126"/>
      <c r="M107" s="126"/>
      <c r="N107" s="126"/>
      <c r="O107" s="126"/>
      <c r="P107" s="126"/>
      <c r="Q107" s="126"/>
    </row>
    <row r="108" spans="2:17" ht="16.5" thickBot="1" x14ac:dyDescent="0.4">
      <c r="B108" s="296" t="s">
        <v>204</v>
      </c>
      <c r="C108" s="296"/>
      <c r="D108" s="126"/>
      <c r="E108" s="126"/>
      <c r="F108" s="126"/>
      <c r="G108" s="126"/>
      <c r="H108" s="126"/>
      <c r="I108" s="126"/>
      <c r="J108" s="126"/>
      <c r="K108" s="126"/>
      <c r="L108" s="126"/>
      <c r="M108" s="126"/>
      <c r="N108" s="126"/>
      <c r="O108" s="126"/>
      <c r="P108" s="127"/>
      <c r="Q108" s="127"/>
    </row>
    <row r="109" spans="2:17" ht="16.5" thickTop="1" x14ac:dyDescent="0.35">
      <c r="B109" s="624" t="str">
        <f>'1-StartingPoint'!B10</f>
        <v>Real Estate-Buildings</v>
      </c>
      <c r="C109" s="625">
        <f>'1-StartingPoint'!D10</f>
        <v>20</v>
      </c>
      <c r="D109" s="126"/>
      <c r="E109" s="126"/>
      <c r="F109" s="126"/>
      <c r="G109" s="126"/>
      <c r="H109" s="126"/>
      <c r="I109" s="126"/>
      <c r="J109" s="126"/>
      <c r="K109" s="126"/>
      <c r="L109" s="126"/>
      <c r="M109" s="126"/>
      <c r="N109" s="126"/>
      <c r="O109" s="126"/>
      <c r="P109" s="127"/>
      <c r="Q109" s="127"/>
    </row>
    <row r="110" spans="2:17" x14ac:dyDescent="0.35">
      <c r="B110" s="417" t="str">
        <f>'1-StartingPoint'!B11</f>
        <v>Leasehold Improvements</v>
      </c>
      <c r="C110" s="515">
        <f>'1-StartingPoint'!D11</f>
        <v>7</v>
      </c>
      <c r="D110" s="126"/>
      <c r="E110" s="126"/>
      <c r="F110" s="126"/>
      <c r="G110" s="126"/>
      <c r="H110" s="126"/>
      <c r="I110" s="126"/>
      <c r="J110" s="126"/>
      <c r="K110" s="126"/>
      <c r="L110" s="126"/>
      <c r="M110" s="126"/>
      <c r="N110" s="126"/>
      <c r="O110" s="126"/>
      <c r="P110" s="127"/>
      <c r="Q110" s="127"/>
    </row>
    <row r="111" spans="2:17" x14ac:dyDescent="0.35">
      <c r="B111" s="417" t="str">
        <f>'1-StartingPoint'!B12</f>
        <v>Equipment</v>
      </c>
      <c r="C111" s="515">
        <f>'1-StartingPoint'!D12</f>
        <v>7</v>
      </c>
      <c r="D111" s="126"/>
      <c r="E111" s="126"/>
      <c r="F111" s="126"/>
      <c r="G111" s="126"/>
      <c r="H111" s="126"/>
      <c r="I111" s="126"/>
      <c r="J111" s="126"/>
      <c r="K111" s="126"/>
      <c r="L111" s="126"/>
      <c r="M111" s="126"/>
      <c r="N111" s="126"/>
      <c r="O111" s="126"/>
      <c r="P111" s="127"/>
      <c r="Q111" s="127"/>
    </row>
    <row r="112" spans="2:17" x14ac:dyDescent="0.35">
      <c r="B112" s="417" t="str">
        <f>'1-StartingPoint'!B13</f>
        <v>Furniture and Fixtures</v>
      </c>
      <c r="C112" s="515">
        <f>'1-StartingPoint'!D13</f>
        <v>5</v>
      </c>
      <c r="D112" s="126"/>
      <c r="E112" s="126"/>
      <c r="F112" s="126"/>
      <c r="G112" s="126"/>
      <c r="H112" s="126"/>
      <c r="I112" s="126"/>
      <c r="J112" s="126"/>
      <c r="K112" s="126"/>
      <c r="L112" s="126"/>
      <c r="M112" s="126"/>
      <c r="N112" s="126"/>
      <c r="O112" s="126"/>
      <c r="P112" s="127"/>
      <c r="Q112" s="127"/>
    </row>
    <row r="113" spans="2:17" x14ac:dyDescent="0.35">
      <c r="B113" s="417" t="str">
        <f>'1-StartingPoint'!B14</f>
        <v>Vehicles</v>
      </c>
      <c r="C113" s="515">
        <f>'1-StartingPoint'!D14</f>
        <v>5</v>
      </c>
      <c r="D113" s="126"/>
      <c r="E113" s="126"/>
      <c r="F113" s="126"/>
      <c r="G113" s="126"/>
      <c r="H113" s="126"/>
      <c r="I113" s="126"/>
      <c r="J113" s="126"/>
      <c r="K113" s="126"/>
      <c r="L113" s="126"/>
      <c r="M113" s="126"/>
      <c r="N113" s="126"/>
      <c r="O113" s="126"/>
      <c r="P113" s="127"/>
      <c r="Q113" s="127"/>
    </row>
    <row r="114" spans="2:17" x14ac:dyDescent="0.35">
      <c r="B114" s="417" t="str">
        <f>'1-StartingPoint'!B15</f>
        <v>Other</v>
      </c>
      <c r="C114" s="515">
        <f>'1-StartingPoint'!D15</f>
        <v>5</v>
      </c>
      <c r="D114" s="126"/>
      <c r="E114" s="126"/>
      <c r="F114" s="126"/>
      <c r="G114" s="126"/>
      <c r="H114" s="126"/>
      <c r="I114" s="126"/>
      <c r="J114" s="126"/>
      <c r="K114" s="126"/>
      <c r="L114" s="126"/>
      <c r="M114" s="126"/>
      <c r="N114" s="126"/>
      <c r="O114" s="126"/>
      <c r="P114" s="126"/>
      <c r="Q114" s="126"/>
    </row>
    <row r="115" spans="2:17" x14ac:dyDescent="0.35">
      <c r="B115" s="145"/>
      <c r="C115" s="612" t="str">
        <f>'3a-SalesForecastYear1'!$C$16</f>
        <v>Month 1</v>
      </c>
      <c r="D115" s="612" t="str">
        <f>'3a-SalesForecastYear1'!$D$16</f>
        <v>Month 2</v>
      </c>
      <c r="E115" s="612" t="str">
        <f>'3a-SalesForecastYear1'!$E$16</f>
        <v>Month 3</v>
      </c>
      <c r="F115" s="612" t="str">
        <f>'3a-SalesForecastYear1'!$F$16</f>
        <v>Month 4</v>
      </c>
      <c r="G115" s="612" t="str">
        <f>'3a-SalesForecastYear1'!$G$16</f>
        <v>Month 5</v>
      </c>
      <c r="H115" s="612" t="str">
        <f>'3a-SalesForecastYear1'!$H$16</f>
        <v>Month 6</v>
      </c>
      <c r="I115" s="612" t="str">
        <f>'3a-SalesForecastYear1'!$I$16</f>
        <v>Month 7</v>
      </c>
      <c r="J115" s="612" t="str">
        <f>'3a-SalesForecastYear1'!$J$16</f>
        <v>Month 8</v>
      </c>
      <c r="K115" s="612" t="str">
        <f>'3a-SalesForecastYear1'!$K$16</f>
        <v>Month 9</v>
      </c>
      <c r="L115" s="612" t="str">
        <f>'3a-SalesForecastYear1'!$L$16</f>
        <v>Month 10</v>
      </c>
      <c r="M115" s="612" t="str">
        <f>'3a-SalesForecastYear1'!$M$16</f>
        <v>Month 11</v>
      </c>
      <c r="N115" s="612" t="str">
        <f>'3a-SalesForecastYear1'!$N$16</f>
        <v>Month 12</v>
      </c>
      <c r="O115" s="612" t="s">
        <v>38</v>
      </c>
      <c r="P115" s="126"/>
      <c r="Q115" s="126"/>
    </row>
    <row r="116" spans="2:17" x14ac:dyDescent="0.35">
      <c r="B116" s="145" t="s">
        <v>269</v>
      </c>
      <c r="C116" s="626"/>
      <c r="D116" s="626"/>
      <c r="E116" s="626"/>
      <c r="F116" s="626"/>
      <c r="G116" s="626"/>
      <c r="H116" s="626"/>
      <c r="I116" s="626"/>
      <c r="J116" s="626"/>
      <c r="K116" s="626"/>
      <c r="L116" s="626"/>
      <c r="M116" s="626"/>
      <c r="N116" s="626"/>
      <c r="O116" s="626"/>
      <c r="P116" s="126"/>
      <c r="Q116" s="126"/>
    </row>
    <row r="117" spans="2:17" x14ac:dyDescent="0.35">
      <c r="B117" s="567" t="s">
        <v>350</v>
      </c>
      <c r="C117" s="442">
        <f>(Buildings/'1-StartingPoint'!$D$10/12)+(LeaseImprovements/'1-StartingPoint'!$D$11/12)+(Equipment/'1-StartingPoint'!$D$12/12)+(Furniture/'1-StartingPoint'!$D$13/12)+(Vehicles/'1-StartingPoint'!$D$14/12)+(OtherFixedAssets/'1-StartingPoint'!$D$15/12)</f>
        <v>0</v>
      </c>
      <c r="D117" s="442">
        <f>C119</f>
        <v>0</v>
      </c>
      <c r="E117" s="442">
        <f t="shared" ref="E117:N117" si="15">D119</f>
        <v>0</v>
      </c>
      <c r="F117" s="442">
        <f t="shared" si="15"/>
        <v>0</v>
      </c>
      <c r="G117" s="442">
        <f t="shared" si="15"/>
        <v>0</v>
      </c>
      <c r="H117" s="442">
        <f t="shared" si="15"/>
        <v>0</v>
      </c>
      <c r="I117" s="442">
        <f t="shared" si="15"/>
        <v>0</v>
      </c>
      <c r="J117" s="442">
        <f t="shared" si="15"/>
        <v>0</v>
      </c>
      <c r="K117" s="442">
        <f t="shared" si="15"/>
        <v>0</v>
      </c>
      <c r="L117" s="442">
        <f t="shared" si="15"/>
        <v>0</v>
      </c>
      <c r="M117" s="442">
        <f t="shared" si="15"/>
        <v>0</v>
      </c>
      <c r="N117" s="442">
        <f t="shared" si="15"/>
        <v>0</v>
      </c>
      <c r="O117" s="613">
        <f>SUM(C117:N117)</f>
        <v>0</v>
      </c>
      <c r="P117" s="126"/>
      <c r="Q117" s="126"/>
    </row>
    <row r="118" spans="2:17" x14ac:dyDescent="0.35">
      <c r="B118" s="567" t="s">
        <v>351</v>
      </c>
      <c r="C118" s="442">
        <v>0</v>
      </c>
      <c r="D118" s="442">
        <f>('4-AdditionalInputs'!E29/'4-AdditionalInputs'!$C$29/12)+('4-AdditionalInputs'!E30/'4-AdditionalInputs'!$C$30/12)+('4-AdditionalInputs'!E31/'4-AdditionalInputs'!$C$31/12)+('4-AdditionalInputs'!E32/'4-AdditionalInputs'!$C$32/12)+('4-AdditionalInputs'!E33/'4-AdditionalInputs'!$C$33/12)+('4-AdditionalInputs'!E34/'4-AdditionalInputs'!$C$34/12)</f>
        <v>0</v>
      </c>
      <c r="E118" s="442">
        <f>('4-AdditionalInputs'!F29/'4-AdditionalInputs'!$C$29/12)+('4-AdditionalInputs'!F30/'4-AdditionalInputs'!$C$30/12)+('4-AdditionalInputs'!F31/'4-AdditionalInputs'!$C$31/12)+('4-AdditionalInputs'!F32/'4-AdditionalInputs'!$C$32/12)+('4-AdditionalInputs'!F33/'4-AdditionalInputs'!$C$33/12)+('4-AdditionalInputs'!F34/'4-AdditionalInputs'!$C$34/12)</f>
        <v>0</v>
      </c>
      <c r="F118" s="442">
        <f>('4-AdditionalInputs'!G29/'4-AdditionalInputs'!$C$29/12)+('4-AdditionalInputs'!G30/'4-AdditionalInputs'!$C$30/12)+('4-AdditionalInputs'!G31/'4-AdditionalInputs'!$C$31/12)+('4-AdditionalInputs'!G32/'4-AdditionalInputs'!$C$32/12)+('4-AdditionalInputs'!G33/'4-AdditionalInputs'!$C$33/12)+('4-AdditionalInputs'!G34/'4-AdditionalInputs'!$C$34/12)</f>
        <v>0</v>
      </c>
      <c r="G118" s="442">
        <f>('4-AdditionalInputs'!H29/'4-AdditionalInputs'!$C$29/12)+('4-AdditionalInputs'!H30/'4-AdditionalInputs'!$C$30/12)+('4-AdditionalInputs'!H31/'4-AdditionalInputs'!$C$31/12)+('4-AdditionalInputs'!H32/'4-AdditionalInputs'!$C$32/12)+('4-AdditionalInputs'!H33/'4-AdditionalInputs'!$C$33/12)+('4-AdditionalInputs'!H34/'4-AdditionalInputs'!$C$34/12)</f>
        <v>0</v>
      </c>
      <c r="H118" s="442">
        <f>('4-AdditionalInputs'!I29/'4-AdditionalInputs'!$C$29/12)+('4-AdditionalInputs'!I30/'4-AdditionalInputs'!$C$30/12)+('4-AdditionalInputs'!I31/'4-AdditionalInputs'!$C$31/12)+('4-AdditionalInputs'!I32/'4-AdditionalInputs'!$C$32/12)+('4-AdditionalInputs'!I33/'4-AdditionalInputs'!$C$33/12)+('4-AdditionalInputs'!I34/'4-AdditionalInputs'!$C$34/12)</f>
        <v>0</v>
      </c>
      <c r="I118" s="442">
        <f>('4-AdditionalInputs'!J29/'4-AdditionalInputs'!$C$29/12)+('4-AdditionalInputs'!J30/'4-AdditionalInputs'!$C$30/12)+('4-AdditionalInputs'!J31/'4-AdditionalInputs'!$C$31/12)+('4-AdditionalInputs'!J32/'4-AdditionalInputs'!$C$32/12)+('4-AdditionalInputs'!J33/'4-AdditionalInputs'!$C$33/12)+('4-AdditionalInputs'!J34/'4-AdditionalInputs'!$C$34/12)</f>
        <v>0</v>
      </c>
      <c r="J118" s="442">
        <f>('4-AdditionalInputs'!K29/'4-AdditionalInputs'!$C$29/12)+('4-AdditionalInputs'!K30/'4-AdditionalInputs'!$C$30/12)+('4-AdditionalInputs'!K31/'4-AdditionalInputs'!$C$31/12)+('4-AdditionalInputs'!K32/'4-AdditionalInputs'!$C$32/12)+('4-AdditionalInputs'!K33/'4-AdditionalInputs'!$C$33/12)+('4-AdditionalInputs'!K34/'4-AdditionalInputs'!$C$34/12)</f>
        <v>0</v>
      </c>
      <c r="K118" s="442">
        <f>('4-AdditionalInputs'!L29/'4-AdditionalInputs'!$C$29/12)+('4-AdditionalInputs'!L30/'4-AdditionalInputs'!$C$30/12)+('4-AdditionalInputs'!L31/'4-AdditionalInputs'!$C$31/12)+('4-AdditionalInputs'!L32/'4-AdditionalInputs'!$C$32/12)+('4-AdditionalInputs'!L33/'4-AdditionalInputs'!$C$33/12)+('4-AdditionalInputs'!L34/'4-AdditionalInputs'!$C$34/12)</f>
        <v>0</v>
      </c>
      <c r="L118" s="442">
        <f>('4-AdditionalInputs'!M29/'4-AdditionalInputs'!$C$29/12)+('4-AdditionalInputs'!M30/'4-AdditionalInputs'!$C$30/12)+('4-AdditionalInputs'!M31/'4-AdditionalInputs'!$C$31/12)+('4-AdditionalInputs'!M32/'4-AdditionalInputs'!$C$32/12)+('4-AdditionalInputs'!M33/'4-AdditionalInputs'!$C$33/12)+('4-AdditionalInputs'!M34/'4-AdditionalInputs'!$C$34/12)</f>
        <v>0</v>
      </c>
      <c r="M118" s="442">
        <f>('4-AdditionalInputs'!N29/'4-AdditionalInputs'!$C$29/12)+('4-AdditionalInputs'!N30/'4-AdditionalInputs'!$C$30/12)+('4-AdditionalInputs'!N31/'4-AdditionalInputs'!$C$31/12)+('4-AdditionalInputs'!N32/'4-AdditionalInputs'!$C$32/12)+('4-AdditionalInputs'!N33/'4-AdditionalInputs'!$C$33/12)+('4-AdditionalInputs'!N34/'4-AdditionalInputs'!$C$34/12)</f>
        <v>0</v>
      </c>
      <c r="N118" s="442">
        <f>('4-AdditionalInputs'!O29/'4-AdditionalInputs'!$C$29/12)+('4-AdditionalInputs'!O30/'4-AdditionalInputs'!$C$30/12)+('4-AdditionalInputs'!O31/'4-AdditionalInputs'!$C$31/12)+('4-AdditionalInputs'!O32/'4-AdditionalInputs'!$C$32/12)+('4-AdditionalInputs'!O33/'4-AdditionalInputs'!$C$33/12)+('4-AdditionalInputs'!O34/'4-AdditionalInputs'!$C$34/12)</f>
        <v>0</v>
      </c>
      <c r="O118" s="442"/>
      <c r="P118" s="126"/>
      <c r="Q118" s="126"/>
    </row>
    <row r="119" spans="2:17" x14ac:dyDescent="0.35">
      <c r="B119" s="567" t="s">
        <v>352</v>
      </c>
      <c r="C119" s="614">
        <f>SUM(C117:C118)</f>
        <v>0</v>
      </c>
      <c r="D119" s="614">
        <f t="shared" ref="D119:N119" si="16">SUM(D117:D118)</f>
        <v>0</v>
      </c>
      <c r="E119" s="614">
        <f t="shared" si="16"/>
        <v>0</v>
      </c>
      <c r="F119" s="614">
        <f t="shared" si="16"/>
        <v>0</v>
      </c>
      <c r="G119" s="614">
        <f t="shared" si="16"/>
        <v>0</v>
      </c>
      <c r="H119" s="614">
        <f t="shared" si="16"/>
        <v>0</v>
      </c>
      <c r="I119" s="614">
        <f t="shared" si="16"/>
        <v>0</v>
      </c>
      <c r="J119" s="614">
        <f t="shared" si="16"/>
        <v>0</v>
      </c>
      <c r="K119" s="614">
        <f t="shared" si="16"/>
        <v>0</v>
      </c>
      <c r="L119" s="614">
        <f t="shared" si="16"/>
        <v>0</v>
      </c>
      <c r="M119" s="614">
        <f t="shared" si="16"/>
        <v>0</v>
      </c>
      <c r="N119" s="614">
        <f t="shared" si="16"/>
        <v>0</v>
      </c>
      <c r="O119" s="613">
        <f t="shared" ref="O119:O127" si="17">SUM(C119:N119)</f>
        <v>0</v>
      </c>
      <c r="P119" s="126"/>
      <c r="Q119" s="126"/>
    </row>
    <row r="120" spans="2:17" x14ac:dyDescent="0.35">
      <c r="B120" s="145" t="s">
        <v>270</v>
      </c>
      <c r="C120" s="626"/>
      <c r="D120" s="626"/>
      <c r="E120" s="626"/>
      <c r="F120" s="626"/>
      <c r="G120" s="626"/>
      <c r="H120" s="626"/>
      <c r="I120" s="626"/>
      <c r="J120" s="626"/>
      <c r="K120" s="626"/>
      <c r="L120" s="626"/>
      <c r="M120" s="626"/>
      <c r="N120" s="626"/>
      <c r="O120" s="442"/>
      <c r="P120" s="126"/>
      <c r="Q120" s="126"/>
    </row>
    <row r="121" spans="2:17" x14ac:dyDescent="0.35">
      <c r="B121" s="567" t="s">
        <v>350</v>
      </c>
      <c r="C121" s="442">
        <f>N119</f>
        <v>0</v>
      </c>
      <c r="D121" s="442">
        <f>C123</f>
        <v>0</v>
      </c>
      <c r="E121" s="442">
        <f t="shared" ref="E121:N121" si="18">D123</f>
        <v>0</v>
      </c>
      <c r="F121" s="442">
        <f t="shared" si="18"/>
        <v>0</v>
      </c>
      <c r="G121" s="442">
        <f t="shared" si="18"/>
        <v>0</v>
      </c>
      <c r="H121" s="442">
        <f t="shared" si="18"/>
        <v>0</v>
      </c>
      <c r="I121" s="442">
        <f t="shared" si="18"/>
        <v>0</v>
      </c>
      <c r="J121" s="442">
        <f t="shared" si="18"/>
        <v>0</v>
      </c>
      <c r="K121" s="442">
        <f t="shared" si="18"/>
        <v>0</v>
      </c>
      <c r="L121" s="442">
        <f t="shared" si="18"/>
        <v>0</v>
      </c>
      <c r="M121" s="442">
        <f t="shared" si="18"/>
        <v>0</v>
      </c>
      <c r="N121" s="442">
        <f t="shared" si="18"/>
        <v>0</v>
      </c>
      <c r="O121" s="613">
        <f t="shared" si="17"/>
        <v>0</v>
      </c>
      <c r="P121" s="126"/>
      <c r="Q121" s="126"/>
    </row>
    <row r="122" spans="2:17" x14ac:dyDescent="0.35">
      <c r="B122" s="567" t="s">
        <v>351</v>
      </c>
      <c r="C122" s="442">
        <f>('4-AdditionalInputs'!$Q$29/'4-AdditionalInputs'!$C$29/12/12)+('4-AdditionalInputs'!$Q$30/'4-AdditionalInputs'!$C$30/12/12)+('4-AdditionalInputs'!$Q$31/'4-AdditionalInputs'!$C$31/12/12)+('4-AdditionalInputs'!$Q$32/'4-AdditionalInputs'!$C$32/12/12)+('4-AdditionalInputs'!$Q$33/'4-AdditionalInputs'!$C$33/12/12)+('4-AdditionalInputs'!$Q$34/'4-AdditionalInputs'!$C$34/12/12)</f>
        <v>0</v>
      </c>
      <c r="D122" s="442">
        <f>('4-AdditionalInputs'!$Q$29/'4-AdditionalInputs'!$C$29/12/12)+('4-AdditionalInputs'!$Q$30/'4-AdditionalInputs'!$C$30/12/12)+('4-AdditionalInputs'!$Q$31/'4-AdditionalInputs'!$C$31/12/12)+('4-AdditionalInputs'!$Q$32/'4-AdditionalInputs'!$C$32/12/12)+('4-AdditionalInputs'!$Q$33/'4-AdditionalInputs'!$C$33/12/12)+('4-AdditionalInputs'!$Q$34/'4-AdditionalInputs'!$C$34/12/12)</f>
        <v>0</v>
      </c>
      <c r="E122" s="442">
        <f>('4-AdditionalInputs'!$Q$29/'4-AdditionalInputs'!$C$29/12/12)+('4-AdditionalInputs'!$Q$30/'4-AdditionalInputs'!$C$30/12/12)+('4-AdditionalInputs'!$Q$31/'4-AdditionalInputs'!$C$31/12/12)+('4-AdditionalInputs'!$Q$32/'4-AdditionalInputs'!$C$32/12/12)+('4-AdditionalInputs'!$Q$33/'4-AdditionalInputs'!$C$33/12/12)+('4-AdditionalInputs'!$Q$34/'4-AdditionalInputs'!$C$34/12/12)</f>
        <v>0</v>
      </c>
      <c r="F122" s="442">
        <f>('4-AdditionalInputs'!$Q$29/'4-AdditionalInputs'!$C$29/12/12)+('4-AdditionalInputs'!$Q$30/'4-AdditionalInputs'!$C$30/12/12)+('4-AdditionalInputs'!$Q$31/'4-AdditionalInputs'!$C$31/12/12)+('4-AdditionalInputs'!$Q$32/'4-AdditionalInputs'!$C$32/12/12)+('4-AdditionalInputs'!$Q$33/'4-AdditionalInputs'!$C$33/12/12)+('4-AdditionalInputs'!$Q$34/'4-AdditionalInputs'!$C$34/12/12)</f>
        <v>0</v>
      </c>
      <c r="G122" s="442">
        <f>('4-AdditionalInputs'!$Q$29/'4-AdditionalInputs'!$C$29/12/12)+('4-AdditionalInputs'!$Q$30/'4-AdditionalInputs'!$C$30/12/12)+('4-AdditionalInputs'!$Q$31/'4-AdditionalInputs'!$C$31/12/12)+('4-AdditionalInputs'!$Q$32/'4-AdditionalInputs'!$C$32/12/12)+('4-AdditionalInputs'!$Q$33/'4-AdditionalInputs'!$C$33/12/12)+('4-AdditionalInputs'!$Q$34/'4-AdditionalInputs'!$C$34/12/12)</f>
        <v>0</v>
      </c>
      <c r="H122" s="442">
        <f>('4-AdditionalInputs'!$Q$29/'4-AdditionalInputs'!$C$29/12/12)+('4-AdditionalInputs'!$Q$30/'4-AdditionalInputs'!$C$30/12/12)+('4-AdditionalInputs'!$Q$31/'4-AdditionalInputs'!$C$31/12/12)+('4-AdditionalInputs'!$Q$32/'4-AdditionalInputs'!$C$32/12/12)+('4-AdditionalInputs'!$Q$33/'4-AdditionalInputs'!$C$33/12/12)+('4-AdditionalInputs'!$Q$34/'4-AdditionalInputs'!$C$34/12/12)</f>
        <v>0</v>
      </c>
      <c r="I122" s="442">
        <f>('4-AdditionalInputs'!$Q$29/'4-AdditionalInputs'!$C$29/12/12)+('4-AdditionalInputs'!$Q$30/'4-AdditionalInputs'!$C$30/12/12)+('4-AdditionalInputs'!$Q$31/'4-AdditionalInputs'!$C$31/12/12)+('4-AdditionalInputs'!$Q$32/'4-AdditionalInputs'!$C$32/12/12)+('4-AdditionalInputs'!$Q$33/'4-AdditionalInputs'!$C$33/12/12)+('4-AdditionalInputs'!$Q$34/'4-AdditionalInputs'!$C$34/12/12)</f>
        <v>0</v>
      </c>
      <c r="J122" s="442">
        <f>('4-AdditionalInputs'!$Q$29/'4-AdditionalInputs'!$C$29/12/12)+('4-AdditionalInputs'!$Q$30/'4-AdditionalInputs'!$C$30/12/12)+('4-AdditionalInputs'!$Q$31/'4-AdditionalInputs'!$C$31/12/12)+('4-AdditionalInputs'!$Q$32/'4-AdditionalInputs'!$C$32/12/12)+('4-AdditionalInputs'!$Q$33/'4-AdditionalInputs'!$C$33/12/12)+('4-AdditionalInputs'!$Q$34/'4-AdditionalInputs'!$C$34/12/12)</f>
        <v>0</v>
      </c>
      <c r="K122" s="442">
        <f>('4-AdditionalInputs'!$Q$29/'4-AdditionalInputs'!$C$29/12/12)+('4-AdditionalInputs'!$Q$30/'4-AdditionalInputs'!$C$30/12/12)+('4-AdditionalInputs'!$Q$31/'4-AdditionalInputs'!$C$31/12/12)+('4-AdditionalInputs'!$Q$32/'4-AdditionalInputs'!$C$32/12/12)+('4-AdditionalInputs'!$Q$33/'4-AdditionalInputs'!$C$33/12/12)+('4-AdditionalInputs'!$Q$34/'4-AdditionalInputs'!$C$34/12/12)</f>
        <v>0</v>
      </c>
      <c r="L122" s="442">
        <f>('4-AdditionalInputs'!$Q$29/'4-AdditionalInputs'!$C$29/12/12)+('4-AdditionalInputs'!$Q$30/'4-AdditionalInputs'!$C$30/12/12)+('4-AdditionalInputs'!$Q$31/'4-AdditionalInputs'!$C$31/12/12)+('4-AdditionalInputs'!$Q$32/'4-AdditionalInputs'!$C$32/12/12)+('4-AdditionalInputs'!$Q$33/'4-AdditionalInputs'!$C$33/12/12)+('4-AdditionalInputs'!$Q$34/'4-AdditionalInputs'!$C$34/12/12)</f>
        <v>0</v>
      </c>
      <c r="M122" s="442">
        <f>('4-AdditionalInputs'!$Q$29/'4-AdditionalInputs'!$C$29/12/12)+('4-AdditionalInputs'!$Q$30/'4-AdditionalInputs'!$C$30/12/12)+('4-AdditionalInputs'!$Q$31/'4-AdditionalInputs'!$C$31/12/12)+('4-AdditionalInputs'!$Q$32/'4-AdditionalInputs'!$C$32/12/12)+('4-AdditionalInputs'!$Q$33/'4-AdditionalInputs'!$C$33/12/12)+('4-AdditionalInputs'!$Q$34/'4-AdditionalInputs'!$C$34/12/12)</f>
        <v>0</v>
      </c>
      <c r="N122" s="442">
        <f>('4-AdditionalInputs'!$Q$29/'4-AdditionalInputs'!$C$29/12/12)+('4-AdditionalInputs'!$Q$30/'4-AdditionalInputs'!$C$30/12/12)+('4-AdditionalInputs'!$Q$31/'4-AdditionalInputs'!$C$31/12/12)+('4-AdditionalInputs'!$Q$32/'4-AdditionalInputs'!$C$32/12/12)+('4-AdditionalInputs'!$Q$33/'4-AdditionalInputs'!$C$33/12/12)+('4-AdditionalInputs'!$Q$34/'4-AdditionalInputs'!$C$34/12/12)</f>
        <v>0</v>
      </c>
      <c r="O122" s="442"/>
      <c r="P122" s="126"/>
      <c r="Q122" s="126"/>
    </row>
    <row r="123" spans="2:17" x14ac:dyDescent="0.35">
      <c r="B123" s="567" t="s">
        <v>352</v>
      </c>
      <c r="C123" s="614">
        <f>SUM(C121:C122)</f>
        <v>0</v>
      </c>
      <c r="D123" s="614">
        <f t="shared" ref="D123:N123" si="19">SUM(D121:D122)</f>
        <v>0</v>
      </c>
      <c r="E123" s="614">
        <f t="shared" si="19"/>
        <v>0</v>
      </c>
      <c r="F123" s="614">
        <f t="shared" si="19"/>
        <v>0</v>
      </c>
      <c r="G123" s="614">
        <f t="shared" si="19"/>
        <v>0</v>
      </c>
      <c r="H123" s="614">
        <f t="shared" si="19"/>
        <v>0</v>
      </c>
      <c r="I123" s="614">
        <f t="shared" si="19"/>
        <v>0</v>
      </c>
      <c r="J123" s="614">
        <f t="shared" si="19"/>
        <v>0</v>
      </c>
      <c r="K123" s="614">
        <f t="shared" si="19"/>
        <v>0</v>
      </c>
      <c r="L123" s="614">
        <f t="shared" si="19"/>
        <v>0</v>
      </c>
      <c r="M123" s="614">
        <f t="shared" si="19"/>
        <v>0</v>
      </c>
      <c r="N123" s="614">
        <f t="shared" si="19"/>
        <v>0</v>
      </c>
      <c r="O123" s="613">
        <f t="shared" si="17"/>
        <v>0</v>
      </c>
      <c r="P123" s="126"/>
      <c r="Q123" s="126"/>
    </row>
    <row r="124" spans="2:17" x14ac:dyDescent="0.35">
      <c r="B124" s="145" t="s">
        <v>271</v>
      </c>
      <c r="C124" s="626"/>
      <c r="D124" s="626"/>
      <c r="E124" s="626"/>
      <c r="F124" s="626"/>
      <c r="G124" s="626"/>
      <c r="H124" s="626"/>
      <c r="I124" s="626"/>
      <c r="J124" s="626"/>
      <c r="K124" s="626"/>
      <c r="L124" s="626"/>
      <c r="M124" s="626"/>
      <c r="N124" s="626"/>
      <c r="O124" s="442"/>
      <c r="P124" s="126"/>
      <c r="Q124" s="126"/>
    </row>
    <row r="125" spans="2:17" x14ac:dyDescent="0.35">
      <c r="B125" s="567" t="s">
        <v>350</v>
      </c>
      <c r="C125" s="442">
        <f>N123</f>
        <v>0</v>
      </c>
      <c r="D125" s="442">
        <f>C127</f>
        <v>0</v>
      </c>
      <c r="E125" s="442">
        <f t="shared" ref="E125:N125" si="20">D127</f>
        <v>0</v>
      </c>
      <c r="F125" s="442">
        <f t="shared" si="20"/>
        <v>0</v>
      </c>
      <c r="G125" s="442">
        <f t="shared" si="20"/>
        <v>0</v>
      </c>
      <c r="H125" s="442">
        <f t="shared" si="20"/>
        <v>0</v>
      </c>
      <c r="I125" s="442">
        <f t="shared" si="20"/>
        <v>0</v>
      </c>
      <c r="J125" s="442">
        <f t="shared" si="20"/>
        <v>0</v>
      </c>
      <c r="K125" s="442">
        <f t="shared" si="20"/>
        <v>0</v>
      </c>
      <c r="L125" s="442">
        <f t="shared" si="20"/>
        <v>0</v>
      </c>
      <c r="M125" s="442">
        <f t="shared" si="20"/>
        <v>0</v>
      </c>
      <c r="N125" s="442">
        <f t="shared" si="20"/>
        <v>0</v>
      </c>
      <c r="O125" s="613">
        <f t="shared" si="17"/>
        <v>0</v>
      </c>
      <c r="P125" s="126"/>
      <c r="Q125" s="126"/>
    </row>
    <row r="126" spans="2:17" x14ac:dyDescent="0.35">
      <c r="B126" s="567" t="s">
        <v>351</v>
      </c>
      <c r="C126" s="442">
        <f>('4-AdditionalInputs'!$R$29/'4-AdditionalInputs'!$C$29/12/12)+('4-AdditionalInputs'!$R$30/'4-AdditionalInputs'!$C$30/12/12)+('4-AdditionalInputs'!$R$31/'4-AdditionalInputs'!$C$31/12/12)+('4-AdditionalInputs'!$R$32/'4-AdditionalInputs'!$C$32/12/12)+('4-AdditionalInputs'!$R$33/'4-AdditionalInputs'!$C$33/12/12)+('4-AdditionalInputs'!$R$34/'4-AdditionalInputs'!$C$34/12/12)</f>
        <v>0</v>
      </c>
      <c r="D126" s="442">
        <f>('4-AdditionalInputs'!$R$29/'4-AdditionalInputs'!$C$29/12/12)+('4-AdditionalInputs'!$R$30/'4-AdditionalInputs'!$C$30/12/12)+('4-AdditionalInputs'!$R$31/'4-AdditionalInputs'!$C$31/12/12)+('4-AdditionalInputs'!$R$32/'4-AdditionalInputs'!$C$32/12/12)+('4-AdditionalInputs'!$R$33/'4-AdditionalInputs'!$C$33/12/12)+('4-AdditionalInputs'!$R$34/'4-AdditionalInputs'!$C$34/12/12)</f>
        <v>0</v>
      </c>
      <c r="E126" s="442">
        <f>('4-AdditionalInputs'!$R$29/'4-AdditionalInputs'!$C$29/12/12)+('4-AdditionalInputs'!$R$30/'4-AdditionalInputs'!$C$30/12/12)+('4-AdditionalInputs'!$R$31/'4-AdditionalInputs'!$C$31/12/12)+('4-AdditionalInputs'!$R$32/'4-AdditionalInputs'!$C$32/12/12)+('4-AdditionalInputs'!$R$33/'4-AdditionalInputs'!$C$33/12/12)+('4-AdditionalInputs'!$R$34/'4-AdditionalInputs'!$C$34/12/12)</f>
        <v>0</v>
      </c>
      <c r="F126" s="442">
        <f>('4-AdditionalInputs'!$R$29/'4-AdditionalInputs'!$C$29/12/12)+('4-AdditionalInputs'!$R$30/'4-AdditionalInputs'!$C$30/12/12)+('4-AdditionalInputs'!$R$31/'4-AdditionalInputs'!$C$31/12/12)+('4-AdditionalInputs'!$R$32/'4-AdditionalInputs'!$C$32/12/12)+('4-AdditionalInputs'!$R$33/'4-AdditionalInputs'!$C$33/12/12)+('4-AdditionalInputs'!$R$34/'4-AdditionalInputs'!$C$34/12/12)</f>
        <v>0</v>
      </c>
      <c r="G126" s="442">
        <f>('4-AdditionalInputs'!$R$29/'4-AdditionalInputs'!$C$29/12/12)+('4-AdditionalInputs'!$R$30/'4-AdditionalInputs'!$C$30/12/12)+('4-AdditionalInputs'!$R$31/'4-AdditionalInputs'!$C$31/12/12)+('4-AdditionalInputs'!$R$32/'4-AdditionalInputs'!$C$32/12/12)+('4-AdditionalInputs'!$R$33/'4-AdditionalInputs'!$C$33/12/12)+('4-AdditionalInputs'!$R$34/'4-AdditionalInputs'!$C$34/12/12)</f>
        <v>0</v>
      </c>
      <c r="H126" s="442">
        <f>('4-AdditionalInputs'!$R$29/'4-AdditionalInputs'!$C$29/12/12)+('4-AdditionalInputs'!$R$30/'4-AdditionalInputs'!$C$30/12/12)+('4-AdditionalInputs'!$R$31/'4-AdditionalInputs'!$C$31/12/12)+('4-AdditionalInputs'!$R$32/'4-AdditionalInputs'!$C$32/12/12)+('4-AdditionalInputs'!$R$33/'4-AdditionalInputs'!$C$33/12/12)+('4-AdditionalInputs'!$R$34/'4-AdditionalInputs'!$C$34/12/12)</f>
        <v>0</v>
      </c>
      <c r="I126" s="442">
        <f>('4-AdditionalInputs'!$R$29/'4-AdditionalInputs'!$C$29/12/12)+('4-AdditionalInputs'!$R$30/'4-AdditionalInputs'!$C$30/12/12)+('4-AdditionalInputs'!$R$31/'4-AdditionalInputs'!$C$31/12/12)+('4-AdditionalInputs'!$R$32/'4-AdditionalInputs'!$C$32/12/12)+('4-AdditionalInputs'!$R$33/'4-AdditionalInputs'!$C$33/12/12)+('4-AdditionalInputs'!$R$34/'4-AdditionalInputs'!$C$34/12/12)</f>
        <v>0</v>
      </c>
      <c r="J126" s="442">
        <f>('4-AdditionalInputs'!$R$29/'4-AdditionalInputs'!$C$29/12/12)+('4-AdditionalInputs'!$R$30/'4-AdditionalInputs'!$C$30/12/12)+('4-AdditionalInputs'!$R$31/'4-AdditionalInputs'!$C$31/12/12)+('4-AdditionalInputs'!$R$32/'4-AdditionalInputs'!$C$32/12/12)+('4-AdditionalInputs'!$R$33/'4-AdditionalInputs'!$C$33/12/12)+('4-AdditionalInputs'!$R$34/'4-AdditionalInputs'!$C$34/12/12)</f>
        <v>0</v>
      </c>
      <c r="K126" s="442">
        <f>('4-AdditionalInputs'!$R$29/'4-AdditionalInputs'!$C$29/12/12)+('4-AdditionalInputs'!$R$30/'4-AdditionalInputs'!$C$30/12/12)+('4-AdditionalInputs'!$R$31/'4-AdditionalInputs'!$C$31/12/12)+('4-AdditionalInputs'!$R$32/'4-AdditionalInputs'!$C$32/12/12)+('4-AdditionalInputs'!$R$33/'4-AdditionalInputs'!$C$33/12/12)+('4-AdditionalInputs'!$R$34/'4-AdditionalInputs'!$C$34/12/12)</f>
        <v>0</v>
      </c>
      <c r="L126" s="442">
        <f>('4-AdditionalInputs'!$R$29/'4-AdditionalInputs'!$C$29/12/12)+('4-AdditionalInputs'!$R$30/'4-AdditionalInputs'!$C$30/12/12)+('4-AdditionalInputs'!$R$31/'4-AdditionalInputs'!$C$31/12/12)+('4-AdditionalInputs'!$R$32/'4-AdditionalInputs'!$C$32/12/12)+('4-AdditionalInputs'!$R$33/'4-AdditionalInputs'!$C$33/12/12)+('4-AdditionalInputs'!$R$34/'4-AdditionalInputs'!$C$34/12/12)</f>
        <v>0</v>
      </c>
      <c r="M126" s="442">
        <f>('4-AdditionalInputs'!$R$29/'4-AdditionalInputs'!$C$29/12/12)+('4-AdditionalInputs'!$R$30/'4-AdditionalInputs'!$C$30/12/12)+('4-AdditionalInputs'!$R$31/'4-AdditionalInputs'!$C$31/12/12)+('4-AdditionalInputs'!$R$32/'4-AdditionalInputs'!$C$32/12/12)+('4-AdditionalInputs'!$R$33/'4-AdditionalInputs'!$C$33/12/12)+('4-AdditionalInputs'!$R$34/'4-AdditionalInputs'!$C$34/12/12)</f>
        <v>0</v>
      </c>
      <c r="N126" s="442">
        <f>('4-AdditionalInputs'!$R$29/'4-AdditionalInputs'!$C$29/12/12)+('4-AdditionalInputs'!$R$30/'4-AdditionalInputs'!$C$30/12/12)+('4-AdditionalInputs'!$R$31/'4-AdditionalInputs'!$C$31/12/12)+('4-AdditionalInputs'!$R$32/'4-AdditionalInputs'!$C$32/12/12)+('4-AdditionalInputs'!$R$33/'4-AdditionalInputs'!$C$33/12/12)+('4-AdditionalInputs'!$R$34/'4-AdditionalInputs'!$C$34/12/12)</f>
        <v>0</v>
      </c>
      <c r="O126" s="442"/>
      <c r="P126" s="126"/>
      <c r="Q126" s="126"/>
    </row>
    <row r="127" spans="2:17" x14ac:dyDescent="0.35">
      <c r="B127" s="567" t="s">
        <v>353</v>
      </c>
      <c r="C127" s="614">
        <f>SUM(C125:C126)</f>
        <v>0</v>
      </c>
      <c r="D127" s="614">
        <f t="shared" ref="D127:N127" si="21">SUM(D125:D126)</f>
        <v>0</v>
      </c>
      <c r="E127" s="614">
        <f t="shared" si="21"/>
        <v>0</v>
      </c>
      <c r="F127" s="614">
        <f t="shared" si="21"/>
        <v>0</v>
      </c>
      <c r="G127" s="614">
        <f t="shared" si="21"/>
        <v>0</v>
      </c>
      <c r="H127" s="614">
        <f t="shared" si="21"/>
        <v>0</v>
      </c>
      <c r="I127" s="614">
        <f t="shared" si="21"/>
        <v>0</v>
      </c>
      <c r="J127" s="614">
        <f t="shared" si="21"/>
        <v>0</v>
      </c>
      <c r="K127" s="614">
        <f t="shared" si="21"/>
        <v>0</v>
      </c>
      <c r="L127" s="614">
        <f t="shared" si="21"/>
        <v>0</v>
      </c>
      <c r="M127" s="614">
        <f t="shared" si="21"/>
        <v>0</v>
      </c>
      <c r="N127" s="614">
        <f t="shared" si="21"/>
        <v>0</v>
      </c>
      <c r="O127" s="613">
        <f t="shared" si="17"/>
        <v>0</v>
      </c>
      <c r="P127" s="126"/>
      <c r="Q127" s="126"/>
    </row>
    <row r="128" spans="2:17" x14ac:dyDescent="0.35">
      <c r="B128" s="126"/>
      <c r="C128" s="126"/>
      <c r="D128" s="126"/>
      <c r="E128" s="126"/>
      <c r="F128" s="126"/>
      <c r="G128" s="126"/>
      <c r="H128" s="126"/>
      <c r="I128" s="126"/>
      <c r="J128" s="126"/>
      <c r="K128" s="126"/>
      <c r="L128" s="126"/>
      <c r="M128" s="126"/>
      <c r="N128" s="126"/>
      <c r="O128" s="126"/>
      <c r="P128" s="126"/>
      <c r="Q128" s="126"/>
    </row>
    <row r="129" spans="2:17" x14ac:dyDescent="0.35">
      <c r="B129" s="126"/>
      <c r="C129" s="126"/>
      <c r="D129" s="126"/>
      <c r="E129" s="126"/>
      <c r="F129" s="126"/>
      <c r="G129" s="126"/>
      <c r="H129" s="126"/>
      <c r="I129" s="126"/>
      <c r="J129" s="126"/>
      <c r="K129" s="126"/>
      <c r="L129" s="126"/>
      <c r="M129" s="126"/>
      <c r="N129" s="126"/>
      <c r="O129" s="126"/>
      <c r="P129" s="126"/>
      <c r="Q129" s="126"/>
    </row>
    <row r="130" spans="2:17" x14ac:dyDescent="0.35">
      <c r="B130" s="126"/>
      <c r="C130" s="126"/>
      <c r="D130" s="126"/>
      <c r="E130" s="126"/>
      <c r="F130" s="126"/>
      <c r="G130" s="126"/>
      <c r="H130" s="126"/>
      <c r="I130" s="126"/>
      <c r="J130" s="126"/>
      <c r="K130" s="126"/>
      <c r="L130" s="126"/>
      <c r="M130" s="126"/>
      <c r="N130" s="126"/>
      <c r="O130" s="126"/>
      <c r="P130" s="126"/>
      <c r="Q130" s="126"/>
    </row>
    <row r="131" spans="2:17" ht="16.5" thickBot="1" x14ac:dyDescent="0.4">
      <c r="B131" s="129" t="s">
        <v>140</v>
      </c>
      <c r="C131" s="129"/>
      <c r="D131" s="129" t="s">
        <v>354</v>
      </c>
      <c r="E131" s="126"/>
      <c r="F131" s="126"/>
      <c r="G131" s="126"/>
      <c r="H131" s="126"/>
      <c r="I131" s="126"/>
      <c r="J131" s="126"/>
      <c r="K131" s="126"/>
      <c r="L131" s="126"/>
      <c r="M131" s="126"/>
      <c r="N131" s="126"/>
      <c r="O131" s="126"/>
      <c r="P131" s="126"/>
      <c r="Q131" s="126"/>
    </row>
    <row r="132" spans="2:17" ht="16.5" thickTop="1" x14ac:dyDescent="0.35">
      <c r="B132" s="131" t="s">
        <v>234</v>
      </c>
      <c r="C132" s="135">
        <f>TotalOperatingCapital-Working_Capital-Inventory-OtherStartUp</f>
        <v>0</v>
      </c>
      <c r="D132" s="131"/>
      <c r="E132" s="126"/>
      <c r="F132" s="126"/>
      <c r="G132" s="126"/>
      <c r="H132" s="126"/>
      <c r="I132" s="126"/>
      <c r="J132" s="126"/>
      <c r="K132" s="126"/>
      <c r="L132" s="126"/>
      <c r="M132" s="126"/>
      <c r="N132" s="126"/>
      <c r="O132" s="126"/>
      <c r="P132" s="126"/>
      <c r="Q132" s="126"/>
    </row>
    <row r="133" spans="2:17" x14ac:dyDescent="0.35">
      <c r="B133" s="138" t="s">
        <v>355</v>
      </c>
      <c r="C133" s="142">
        <f>IF('4-AdditionalInputs'!C44=0,0,'Amortization&amp;Depreciation'!C132/'4-AdditionalInputs'!C44)</f>
        <v>0</v>
      </c>
      <c r="D133" s="627">
        <f>+C133/12</f>
        <v>0</v>
      </c>
      <c r="E133" s="126"/>
      <c r="F133" s="126"/>
      <c r="G133" s="126"/>
      <c r="H133" s="126"/>
      <c r="I133" s="126"/>
      <c r="J133" s="126"/>
      <c r="K133" s="126"/>
      <c r="L133" s="126"/>
      <c r="M133" s="126"/>
      <c r="N133" s="126"/>
      <c r="O133" s="126"/>
      <c r="P133" s="126"/>
      <c r="Q133" s="126"/>
    </row>
    <row r="134" spans="2:17" x14ac:dyDescent="0.35">
      <c r="B134" s="138" t="s">
        <v>235</v>
      </c>
      <c r="C134" s="142">
        <f>+OtherStartUp</f>
        <v>0</v>
      </c>
      <c r="D134" s="138"/>
      <c r="E134" s="126"/>
      <c r="F134" s="126"/>
      <c r="G134" s="126"/>
      <c r="H134" s="126"/>
      <c r="I134" s="126"/>
      <c r="J134" s="126"/>
      <c r="K134" s="126"/>
      <c r="L134" s="126"/>
      <c r="M134" s="126"/>
      <c r="N134" s="126"/>
      <c r="O134" s="126"/>
      <c r="P134" s="126"/>
      <c r="Q134" s="126"/>
    </row>
    <row r="135" spans="2:17" x14ac:dyDescent="0.35">
      <c r="B135" s="138" t="s">
        <v>355</v>
      </c>
      <c r="C135" s="142">
        <f>IF('4-AdditionalInputs'!C44=0,0,C134/'4-AdditionalInputs'!C44)</f>
        <v>0</v>
      </c>
      <c r="D135" s="627">
        <f>+C135/12</f>
        <v>0</v>
      </c>
      <c r="E135" s="126"/>
      <c r="F135" s="126"/>
      <c r="G135" s="126"/>
      <c r="H135" s="126"/>
      <c r="I135" s="126"/>
      <c r="J135" s="126"/>
      <c r="K135" s="126"/>
      <c r="L135" s="126"/>
      <c r="M135" s="126"/>
      <c r="N135" s="126"/>
      <c r="O135" s="126"/>
      <c r="P135" s="126"/>
      <c r="Q135" s="126"/>
    </row>
    <row r="136" spans="2:17" x14ac:dyDescent="0.35">
      <c r="B136" s="145" t="s">
        <v>234</v>
      </c>
      <c r="C136" s="612" t="str">
        <f>'3a-SalesForecastYear1'!$C$16</f>
        <v>Month 1</v>
      </c>
      <c r="D136" s="612" t="str">
        <f>'3a-SalesForecastYear1'!$D$16</f>
        <v>Month 2</v>
      </c>
      <c r="E136" s="612" t="str">
        <f>'3a-SalesForecastYear1'!$E$16</f>
        <v>Month 3</v>
      </c>
      <c r="F136" s="612" t="str">
        <f>'3a-SalesForecastYear1'!$F$16</f>
        <v>Month 4</v>
      </c>
      <c r="G136" s="612" t="str">
        <f>'3a-SalesForecastYear1'!$G$16</f>
        <v>Month 5</v>
      </c>
      <c r="H136" s="612" t="str">
        <f>'3a-SalesForecastYear1'!$H$16</f>
        <v>Month 6</v>
      </c>
      <c r="I136" s="612" t="str">
        <f>'3a-SalesForecastYear1'!$I$16</f>
        <v>Month 7</v>
      </c>
      <c r="J136" s="612" t="str">
        <f>'3a-SalesForecastYear1'!$J$16</f>
        <v>Month 8</v>
      </c>
      <c r="K136" s="612" t="str">
        <f>'3a-SalesForecastYear1'!$K$16</f>
        <v>Month 9</v>
      </c>
      <c r="L136" s="612" t="str">
        <f>'3a-SalesForecastYear1'!$L$16</f>
        <v>Month 10</v>
      </c>
      <c r="M136" s="612" t="str">
        <f>'3a-SalesForecastYear1'!$M$16</f>
        <v>Month 11</v>
      </c>
      <c r="N136" s="612" t="str">
        <f>'3a-SalesForecastYear1'!$N$16</f>
        <v>Month 12</v>
      </c>
      <c r="O136" s="612" t="s">
        <v>38</v>
      </c>
      <c r="P136" s="126"/>
      <c r="Q136" s="126"/>
    </row>
    <row r="137" spans="2:17" x14ac:dyDescent="0.35">
      <c r="B137" s="145" t="s">
        <v>269</v>
      </c>
      <c r="C137" s="626"/>
      <c r="D137" s="626"/>
      <c r="E137" s="626"/>
      <c r="F137" s="626"/>
      <c r="G137" s="626"/>
      <c r="H137" s="626"/>
      <c r="I137" s="626"/>
      <c r="J137" s="626"/>
      <c r="K137" s="626"/>
      <c r="L137" s="626"/>
      <c r="M137" s="626"/>
      <c r="N137" s="626"/>
      <c r="O137" s="626"/>
      <c r="P137" s="126"/>
      <c r="Q137" s="126"/>
    </row>
    <row r="138" spans="2:17" x14ac:dyDescent="0.35">
      <c r="B138" s="567" t="s">
        <v>356</v>
      </c>
      <c r="C138" s="442">
        <f>+D133</f>
        <v>0</v>
      </c>
      <c r="D138" s="442">
        <f>IF(C139&lt;$C$132,$D$133,0)</f>
        <v>0</v>
      </c>
      <c r="E138" s="442">
        <f t="shared" ref="E138:N138" si="22">IF(D139&lt;$C$132,$D$133,0)</f>
        <v>0</v>
      </c>
      <c r="F138" s="442">
        <f t="shared" si="22"/>
        <v>0</v>
      </c>
      <c r="G138" s="442">
        <f t="shared" si="22"/>
        <v>0</v>
      </c>
      <c r="H138" s="442">
        <f t="shared" si="22"/>
        <v>0</v>
      </c>
      <c r="I138" s="442">
        <f t="shared" si="22"/>
        <v>0</v>
      </c>
      <c r="J138" s="442">
        <f t="shared" si="22"/>
        <v>0</v>
      </c>
      <c r="K138" s="442">
        <f t="shared" si="22"/>
        <v>0</v>
      </c>
      <c r="L138" s="442">
        <f t="shared" si="22"/>
        <v>0</v>
      </c>
      <c r="M138" s="442">
        <f t="shared" si="22"/>
        <v>0</v>
      </c>
      <c r="N138" s="442">
        <f t="shared" si="22"/>
        <v>0</v>
      </c>
      <c r="O138" s="613">
        <f>SUM(C138:N138)</f>
        <v>0</v>
      </c>
      <c r="P138" s="126"/>
      <c r="Q138" s="126"/>
    </row>
    <row r="139" spans="2:17" x14ac:dyDescent="0.35">
      <c r="B139" s="567" t="s">
        <v>357</v>
      </c>
      <c r="C139" s="614">
        <f>+C138</f>
        <v>0</v>
      </c>
      <c r="D139" s="614">
        <f>+D138+C139</f>
        <v>0</v>
      </c>
      <c r="E139" s="614">
        <f t="shared" ref="E139:N139" si="23">+E138+D139</f>
        <v>0</v>
      </c>
      <c r="F139" s="614">
        <f t="shared" si="23"/>
        <v>0</v>
      </c>
      <c r="G139" s="614">
        <f t="shared" si="23"/>
        <v>0</v>
      </c>
      <c r="H139" s="614">
        <f t="shared" si="23"/>
        <v>0</v>
      </c>
      <c r="I139" s="614">
        <f t="shared" si="23"/>
        <v>0</v>
      </c>
      <c r="J139" s="614">
        <f t="shared" si="23"/>
        <v>0</v>
      </c>
      <c r="K139" s="614">
        <f t="shared" si="23"/>
        <v>0</v>
      </c>
      <c r="L139" s="614">
        <f t="shared" si="23"/>
        <v>0</v>
      </c>
      <c r="M139" s="614">
        <f t="shared" si="23"/>
        <v>0</v>
      </c>
      <c r="N139" s="614">
        <f t="shared" si="23"/>
        <v>0</v>
      </c>
      <c r="O139" s="442"/>
      <c r="P139" s="126"/>
      <c r="Q139" s="126"/>
    </row>
    <row r="140" spans="2:17" x14ac:dyDescent="0.35">
      <c r="B140" s="145" t="s">
        <v>270</v>
      </c>
      <c r="C140" s="626"/>
      <c r="D140" s="626"/>
      <c r="E140" s="626"/>
      <c r="F140" s="626"/>
      <c r="G140" s="626"/>
      <c r="H140" s="626"/>
      <c r="I140" s="626"/>
      <c r="J140" s="626"/>
      <c r="K140" s="626"/>
      <c r="L140" s="626"/>
      <c r="M140" s="626"/>
      <c r="N140" s="626"/>
      <c r="O140" s="442"/>
      <c r="P140" s="126"/>
      <c r="Q140" s="126"/>
    </row>
    <row r="141" spans="2:17" x14ac:dyDescent="0.35">
      <c r="B141" s="567" t="s">
        <v>356</v>
      </c>
      <c r="C141" s="442">
        <f>IF(N139&lt;$C$132,$D$133,0)</f>
        <v>0</v>
      </c>
      <c r="D141" s="442">
        <f t="shared" ref="D141:N141" si="24">IF(C142&lt;$C$132,$D$133,0)</f>
        <v>0</v>
      </c>
      <c r="E141" s="442">
        <f t="shared" si="24"/>
        <v>0</v>
      </c>
      <c r="F141" s="442">
        <f t="shared" si="24"/>
        <v>0</v>
      </c>
      <c r="G141" s="442">
        <f t="shared" si="24"/>
        <v>0</v>
      </c>
      <c r="H141" s="442">
        <f t="shared" si="24"/>
        <v>0</v>
      </c>
      <c r="I141" s="442">
        <f t="shared" si="24"/>
        <v>0</v>
      </c>
      <c r="J141" s="442">
        <f t="shared" si="24"/>
        <v>0</v>
      </c>
      <c r="K141" s="442">
        <f t="shared" si="24"/>
        <v>0</v>
      </c>
      <c r="L141" s="442">
        <f t="shared" si="24"/>
        <v>0</v>
      </c>
      <c r="M141" s="442">
        <f t="shared" si="24"/>
        <v>0</v>
      </c>
      <c r="N141" s="442">
        <f t="shared" si="24"/>
        <v>0</v>
      </c>
      <c r="O141" s="613">
        <f>SUM(C141:N141)</f>
        <v>0</v>
      </c>
      <c r="P141" s="126"/>
      <c r="Q141" s="126"/>
    </row>
    <row r="142" spans="2:17" x14ac:dyDescent="0.35">
      <c r="B142" s="567" t="s">
        <v>357</v>
      </c>
      <c r="C142" s="614">
        <f>+C141+N139</f>
        <v>0</v>
      </c>
      <c r="D142" s="614">
        <f t="shared" ref="D142:N142" si="25">+D141+C142</f>
        <v>0</v>
      </c>
      <c r="E142" s="614">
        <f t="shared" si="25"/>
        <v>0</v>
      </c>
      <c r="F142" s="614">
        <f t="shared" si="25"/>
        <v>0</v>
      </c>
      <c r="G142" s="614">
        <f t="shared" si="25"/>
        <v>0</v>
      </c>
      <c r="H142" s="614">
        <f t="shared" si="25"/>
        <v>0</v>
      </c>
      <c r="I142" s="614">
        <f t="shared" si="25"/>
        <v>0</v>
      </c>
      <c r="J142" s="614">
        <f t="shared" si="25"/>
        <v>0</v>
      </c>
      <c r="K142" s="614">
        <f t="shared" si="25"/>
        <v>0</v>
      </c>
      <c r="L142" s="614">
        <f t="shared" si="25"/>
        <v>0</v>
      </c>
      <c r="M142" s="614">
        <f t="shared" si="25"/>
        <v>0</v>
      </c>
      <c r="N142" s="614">
        <f t="shared" si="25"/>
        <v>0</v>
      </c>
      <c r="O142" s="442"/>
      <c r="P142" s="126"/>
      <c r="Q142" s="126"/>
    </row>
    <row r="143" spans="2:17" x14ac:dyDescent="0.35">
      <c r="B143" s="145" t="s">
        <v>271</v>
      </c>
      <c r="C143" s="626"/>
      <c r="D143" s="626"/>
      <c r="E143" s="626"/>
      <c r="F143" s="626"/>
      <c r="G143" s="626"/>
      <c r="H143" s="626"/>
      <c r="I143" s="626"/>
      <c r="J143" s="626"/>
      <c r="K143" s="626"/>
      <c r="L143" s="626"/>
      <c r="M143" s="626"/>
      <c r="N143" s="626"/>
      <c r="O143" s="442"/>
      <c r="P143" s="126"/>
      <c r="Q143" s="126"/>
    </row>
    <row r="144" spans="2:17" x14ac:dyDescent="0.35">
      <c r="B144" s="567" t="s">
        <v>356</v>
      </c>
      <c r="C144" s="442">
        <f>IF(N142&lt;$C$132,$D$133,0)</f>
        <v>0</v>
      </c>
      <c r="D144" s="442">
        <f t="shared" ref="D144:N144" si="26">IF(C145&lt;$C$132,$D$133,0)</f>
        <v>0</v>
      </c>
      <c r="E144" s="442">
        <f t="shared" si="26"/>
        <v>0</v>
      </c>
      <c r="F144" s="442">
        <f t="shared" si="26"/>
        <v>0</v>
      </c>
      <c r="G144" s="442">
        <f t="shared" si="26"/>
        <v>0</v>
      </c>
      <c r="H144" s="442">
        <f t="shared" si="26"/>
        <v>0</v>
      </c>
      <c r="I144" s="442">
        <f t="shared" si="26"/>
        <v>0</v>
      </c>
      <c r="J144" s="442">
        <f t="shared" si="26"/>
        <v>0</v>
      </c>
      <c r="K144" s="442">
        <f t="shared" si="26"/>
        <v>0</v>
      </c>
      <c r="L144" s="442">
        <f t="shared" si="26"/>
        <v>0</v>
      </c>
      <c r="M144" s="442">
        <f t="shared" si="26"/>
        <v>0</v>
      </c>
      <c r="N144" s="442">
        <f t="shared" si="26"/>
        <v>0</v>
      </c>
      <c r="O144" s="613">
        <f>SUM(C144:N144)</f>
        <v>0</v>
      </c>
      <c r="P144" s="126"/>
      <c r="Q144" s="126"/>
    </row>
    <row r="145" spans="2:17" x14ac:dyDescent="0.35">
      <c r="B145" s="567" t="s">
        <v>357</v>
      </c>
      <c r="C145" s="614">
        <f>+C144+N142</f>
        <v>0</v>
      </c>
      <c r="D145" s="614">
        <f t="shared" ref="D145:N145" si="27">+D144+C145</f>
        <v>0</v>
      </c>
      <c r="E145" s="614">
        <f t="shared" si="27"/>
        <v>0</v>
      </c>
      <c r="F145" s="614">
        <f t="shared" si="27"/>
        <v>0</v>
      </c>
      <c r="G145" s="614">
        <f t="shared" si="27"/>
        <v>0</v>
      </c>
      <c r="H145" s="614">
        <f t="shared" si="27"/>
        <v>0</v>
      </c>
      <c r="I145" s="614">
        <f t="shared" si="27"/>
        <v>0</v>
      </c>
      <c r="J145" s="614">
        <f t="shared" si="27"/>
        <v>0</v>
      </c>
      <c r="K145" s="614">
        <f t="shared" si="27"/>
        <v>0</v>
      </c>
      <c r="L145" s="614">
        <f t="shared" si="27"/>
        <v>0</v>
      </c>
      <c r="M145" s="614">
        <f t="shared" si="27"/>
        <v>0</v>
      </c>
      <c r="N145" s="614">
        <f t="shared" si="27"/>
        <v>0</v>
      </c>
      <c r="O145" s="442"/>
      <c r="P145" s="126"/>
      <c r="Q145" s="126"/>
    </row>
    <row r="146" spans="2:17" x14ac:dyDescent="0.35">
      <c r="B146" s="126"/>
      <c r="C146" s="126"/>
      <c r="D146" s="126"/>
      <c r="E146" s="126"/>
      <c r="F146" s="126"/>
      <c r="G146" s="126"/>
      <c r="H146" s="126"/>
      <c r="I146" s="126"/>
      <c r="J146" s="126"/>
      <c r="K146" s="126"/>
      <c r="L146" s="126"/>
      <c r="M146" s="126"/>
      <c r="N146" s="126"/>
      <c r="O146" s="126"/>
      <c r="P146" s="126"/>
      <c r="Q146" s="126"/>
    </row>
    <row r="147" spans="2:17" ht="16.5" thickBot="1" x14ac:dyDescent="0.4">
      <c r="B147" s="129" t="s">
        <v>235</v>
      </c>
      <c r="C147" s="129" t="str">
        <f>'3a-SalesForecastYear1'!$C$16</f>
        <v>Month 1</v>
      </c>
      <c r="D147" s="129" t="str">
        <f>'3a-SalesForecastYear1'!$D$16</f>
        <v>Month 2</v>
      </c>
      <c r="E147" s="129" t="str">
        <f>'3a-SalesForecastYear1'!$E$16</f>
        <v>Month 3</v>
      </c>
      <c r="F147" s="129" t="str">
        <f>'3a-SalesForecastYear1'!$F$16</f>
        <v>Month 4</v>
      </c>
      <c r="G147" s="129" t="str">
        <f>'3a-SalesForecastYear1'!$G$16</f>
        <v>Month 5</v>
      </c>
      <c r="H147" s="129" t="str">
        <f>'3a-SalesForecastYear1'!$H$16</f>
        <v>Month 6</v>
      </c>
      <c r="I147" s="129" t="str">
        <f>'3a-SalesForecastYear1'!$I$16</f>
        <v>Month 7</v>
      </c>
      <c r="J147" s="129" t="str">
        <f>'3a-SalesForecastYear1'!$J$16</f>
        <v>Month 8</v>
      </c>
      <c r="K147" s="129" t="str">
        <f>'3a-SalesForecastYear1'!$K$16</f>
        <v>Month 9</v>
      </c>
      <c r="L147" s="129" t="str">
        <f>'3a-SalesForecastYear1'!$L$16</f>
        <v>Month 10</v>
      </c>
      <c r="M147" s="129" t="str">
        <f>'3a-SalesForecastYear1'!$M$16</f>
        <v>Month 11</v>
      </c>
      <c r="N147" s="129" t="str">
        <f>'3a-SalesForecastYear1'!$N$16</f>
        <v>Month 12</v>
      </c>
      <c r="O147" s="129" t="s">
        <v>38</v>
      </c>
      <c r="P147" s="126"/>
      <c r="Q147" s="126"/>
    </row>
    <row r="148" spans="2:17" ht="16.5" thickTop="1" x14ac:dyDescent="0.35">
      <c r="B148" s="345" t="s">
        <v>269</v>
      </c>
      <c r="C148" s="628"/>
      <c r="D148" s="628"/>
      <c r="E148" s="628"/>
      <c r="F148" s="628"/>
      <c r="G148" s="628"/>
      <c r="H148" s="628"/>
      <c r="I148" s="628"/>
      <c r="J148" s="628"/>
      <c r="K148" s="628"/>
      <c r="L148" s="628"/>
      <c r="M148" s="628"/>
      <c r="N148" s="628"/>
      <c r="O148" s="628"/>
      <c r="P148" s="126"/>
      <c r="Q148" s="126"/>
    </row>
    <row r="149" spans="2:17" x14ac:dyDescent="0.35">
      <c r="B149" s="567" t="s">
        <v>356</v>
      </c>
      <c r="C149" s="442">
        <f>+D135</f>
        <v>0</v>
      </c>
      <c r="D149" s="442">
        <f>IF(C150&lt;$C$134,$D$135,0)</f>
        <v>0</v>
      </c>
      <c r="E149" s="442">
        <f t="shared" ref="E149:N149" si="28">IF(D150&lt;$C$134,$D$135,0)</f>
        <v>0</v>
      </c>
      <c r="F149" s="442">
        <f t="shared" si="28"/>
        <v>0</v>
      </c>
      <c r="G149" s="442">
        <f t="shared" si="28"/>
        <v>0</v>
      </c>
      <c r="H149" s="442">
        <f t="shared" si="28"/>
        <v>0</v>
      </c>
      <c r="I149" s="442">
        <f t="shared" si="28"/>
        <v>0</v>
      </c>
      <c r="J149" s="442">
        <f t="shared" si="28"/>
        <v>0</v>
      </c>
      <c r="K149" s="442">
        <f t="shared" si="28"/>
        <v>0</v>
      </c>
      <c r="L149" s="442">
        <f t="shared" si="28"/>
        <v>0</v>
      </c>
      <c r="M149" s="442">
        <f t="shared" si="28"/>
        <v>0</v>
      </c>
      <c r="N149" s="442">
        <f t="shared" si="28"/>
        <v>0</v>
      </c>
      <c r="O149" s="613">
        <f>SUM(C149:N149)</f>
        <v>0</v>
      </c>
      <c r="P149" s="126"/>
      <c r="Q149" s="126"/>
    </row>
    <row r="150" spans="2:17" x14ac:dyDescent="0.35">
      <c r="B150" s="567" t="s">
        <v>357</v>
      </c>
      <c r="C150" s="614">
        <f>+C149</f>
        <v>0</v>
      </c>
      <c r="D150" s="614">
        <f>+D149+C150</f>
        <v>0</v>
      </c>
      <c r="E150" s="614">
        <f t="shared" ref="E150:N150" si="29">+E149+D150</f>
        <v>0</v>
      </c>
      <c r="F150" s="614">
        <f t="shared" si="29"/>
        <v>0</v>
      </c>
      <c r="G150" s="614">
        <f t="shared" si="29"/>
        <v>0</v>
      </c>
      <c r="H150" s="614">
        <f t="shared" si="29"/>
        <v>0</v>
      </c>
      <c r="I150" s="614">
        <f t="shared" si="29"/>
        <v>0</v>
      </c>
      <c r="J150" s="614">
        <f t="shared" si="29"/>
        <v>0</v>
      </c>
      <c r="K150" s="614">
        <f t="shared" si="29"/>
        <v>0</v>
      </c>
      <c r="L150" s="614">
        <f t="shared" si="29"/>
        <v>0</v>
      </c>
      <c r="M150" s="614">
        <f t="shared" si="29"/>
        <v>0</v>
      </c>
      <c r="N150" s="614">
        <f t="shared" si="29"/>
        <v>0</v>
      </c>
      <c r="O150" s="442"/>
      <c r="P150" s="126"/>
      <c r="Q150" s="126"/>
    </row>
    <row r="151" spans="2:17" x14ac:dyDescent="0.35">
      <c r="B151" s="145" t="s">
        <v>270</v>
      </c>
      <c r="C151" s="626"/>
      <c r="D151" s="626"/>
      <c r="E151" s="626"/>
      <c r="F151" s="626"/>
      <c r="G151" s="626"/>
      <c r="H151" s="626"/>
      <c r="I151" s="626"/>
      <c r="J151" s="626"/>
      <c r="K151" s="626"/>
      <c r="L151" s="626"/>
      <c r="M151" s="626"/>
      <c r="N151" s="626"/>
      <c r="O151" s="442"/>
      <c r="P151" s="126"/>
      <c r="Q151" s="126"/>
    </row>
    <row r="152" spans="2:17" x14ac:dyDescent="0.35">
      <c r="B152" s="567" t="s">
        <v>350</v>
      </c>
      <c r="C152" s="442">
        <f>IF(N150&lt;$C$134,$D$135,0)</f>
        <v>0</v>
      </c>
      <c r="D152" s="442">
        <f>IF(C153&lt;$C$134,$D$135,0)</f>
        <v>0</v>
      </c>
      <c r="E152" s="442">
        <f t="shared" ref="E152:N152" si="30">IF(D153&lt;$C$134,$D$135,0)</f>
        <v>0</v>
      </c>
      <c r="F152" s="442">
        <f t="shared" si="30"/>
        <v>0</v>
      </c>
      <c r="G152" s="442">
        <f t="shared" si="30"/>
        <v>0</v>
      </c>
      <c r="H152" s="442">
        <f t="shared" si="30"/>
        <v>0</v>
      </c>
      <c r="I152" s="442">
        <f t="shared" si="30"/>
        <v>0</v>
      </c>
      <c r="J152" s="442">
        <f t="shared" si="30"/>
        <v>0</v>
      </c>
      <c r="K152" s="442">
        <f t="shared" si="30"/>
        <v>0</v>
      </c>
      <c r="L152" s="442">
        <f t="shared" si="30"/>
        <v>0</v>
      </c>
      <c r="M152" s="442">
        <f t="shared" si="30"/>
        <v>0</v>
      </c>
      <c r="N152" s="442">
        <f t="shared" si="30"/>
        <v>0</v>
      </c>
      <c r="O152" s="613">
        <f>SUM(C152:N152)</f>
        <v>0</v>
      </c>
      <c r="P152" s="126"/>
      <c r="Q152" s="126"/>
    </row>
    <row r="153" spans="2:17" x14ac:dyDescent="0.35">
      <c r="B153" s="567" t="s">
        <v>352</v>
      </c>
      <c r="C153" s="614">
        <f>+C152+N150</f>
        <v>0</v>
      </c>
      <c r="D153" s="614">
        <f t="shared" ref="D153:N153" si="31">+D152+C153</f>
        <v>0</v>
      </c>
      <c r="E153" s="614">
        <f t="shared" si="31"/>
        <v>0</v>
      </c>
      <c r="F153" s="614">
        <f t="shared" si="31"/>
        <v>0</v>
      </c>
      <c r="G153" s="614">
        <f t="shared" si="31"/>
        <v>0</v>
      </c>
      <c r="H153" s="614">
        <f t="shared" si="31"/>
        <v>0</v>
      </c>
      <c r="I153" s="614">
        <f t="shared" si="31"/>
        <v>0</v>
      </c>
      <c r="J153" s="614">
        <f t="shared" si="31"/>
        <v>0</v>
      </c>
      <c r="K153" s="614">
        <f t="shared" si="31"/>
        <v>0</v>
      </c>
      <c r="L153" s="614">
        <f t="shared" si="31"/>
        <v>0</v>
      </c>
      <c r="M153" s="614">
        <f t="shared" si="31"/>
        <v>0</v>
      </c>
      <c r="N153" s="614">
        <f t="shared" si="31"/>
        <v>0</v>
      </c>
      <c r="O153" s="442"/>
      <c r="P153" s="126"/>
      <c r="Q153" s="126"/>
    </row>
    <row r="154" spans="2:17" x14ac:dyDescent="0.35">
      <c r="B154" s="145" t="s">
        <v>271</v>
      </c>
      <c r="C154" s="626"/>
      <c r="D154" s="626"/>
      <c r="E154" s="626"/>
      <c r="F154" s="626"/>
      <c r="G154" s="626"/>
      <c r="H154" s="626"/>
      <c r="I154" s="626"/>
      <c r="J154" s="626"/>
      <c r="K154" s="626"/>
      <c r="L154" s="626"/>
      <c r="M154" s="626"/>
      <c r="N154" s="626"/>
      <c r="O154" s="442"/>
      <c r="P154" s="126"/>
      <c r="Q154" s="126"/>
    </row>
    <row r="155" spans="2:17" x14ac:dyDescent="0.35">
      <c r="B155" s="567" t="s">
        <v>350</v>
      </c>
      <c r="C155" s="442">
        <f>IF(N153&lt;$C$134,$D$135,0)</f>
        <v>0</v>
      </c>
      <c r="D155" s="442">
        <f>IF(C156&lt;$C$134,$D$135,0)</f>
        <v>0</v>
      </c>
      <c r="E155" s="442">
        <f t="shared" ref="E155:N155" si="32">IF(D156&lt;$C$134,$D$135,0)</f>
        <v>0</v>
      </c>
      <c r="F155" s="442">
        <f t="shared" si="32"/>
        <v>0</v>
      </c>
      <c r="G155" s="442">
        <f t="shared" si="32"/>
        <v>0</v>
      </c>
      <c r="H155" s="442">
        <f t="shared" si="32"/>
        <v>0</v>
      </c>
      <c r="I155" s="442">
        <f t="shared" si="32"/>
        <v>0</v>
      </c>
      <c r="J155" s="442">
        <f t="shared" si="32"/>
        <v>0</v>
      </c>
      <c r="K155" s="442">
        <f t="shared" si="32"/>
        <v>0</v>
      </c>
      <c r="L155" s="442">
        <f t="shared" si="32"/>
        <v>0</v>
      </c>
      <c r="M155" s="442">
        <f t="shared" si="32"/>
        <v>0</v>
      </c>
      <c r="N155" s="442">
        <f t="shared" si="32"/>
        <v>0</v>
      </c>
      <c r="O155" s="613">
        <f>SUM(C155:N155)</f>
        <v>0</v>
      </c>
      <c r="P155" s="126"/>
      <c r="Q155" s="126"/>
    </row>
    <row r="156" spans="2:17" x14ac:dyDescent="0.35">
      <c r="B156" s="567" t="s">
        <v>353</v>
      </c>
      <c r="C156" s="614">
        <f>+C155+N153</f>
        <v>0</v>
      </c>
      <c r="D156" s="614">
        <f t="shared" ref="D156:N156" si="33">+D155+C156</f>
        <v>0</v>
      </c>
      <c r="E156" s="614">
        <f t="shared" si="33"/>
        <v>0</v>
      </c>
      <c r="F156" s="614">
        <f t="shared" si="33"/>
        <v>0</v>
      </c>
      <c r="G156" s="614">
        <f t="shared" si="33"/>
        <v>0</v>
      </c>
      <c r="H156" s="614">
        <f t="shared" si="33"/>
        <v>0</v>
      </c>
      <c r="I156" s="614">
        <f t="shared" si="33"/>
        <v>0</v>
      </c>
      <c r="J156" s="614">
        <f t="shared" si="33"/>
        <v>0</v>
      </c>
      <c r="K156" s="614">
        <f t="shared" si="33"/>
        <v>0</v>
      </c>
      <c r="L156" s="614">
        <f t="shared" si="33"/>
        <v>0</v>
      </c>
      <c r="M156" s="614">
        <f t="shared" si="33"/>
        <v>0</v>
      </c>
      <c r="N156" s="614">
        <f t="shared" si="33"/>
        <v>0</v>
      </c>
      <c r="O156" s="442"/>
      <c r="P156" s="126"/>
      <c r="Q156" s="126"/>
    </row>
    <row r="157" spans="2:17" x14ac:dyDescent="0.35">
      <c r="B157" s="126"/>
      <c r="C157" s="126"/>
      <c r="D157" s="126"/>
      <c r="E157" s="126"/>
      <c r="F157" s="126"/>
      <c r="G157" s="126"/>
      <c r="H157" s="126"/>
      <c r="I157" s="126"/>
      <c r="J157" s="126"/>
      <c r="K157" s="126"/>
      <c r="L157" s="126"/>
      <c r="M157" s="126"/>
      <c r="N157" s="126"/>
      <c r="O157" s="126"/>
      <c r="P157" s="126"/>
      <c r="Q157" s="126"/>
    </row>
    <row r="158" spans="2:17" x14ac:dyDescent="0.35">
      <c r="B158" s="126"/>
      <c r="C158" s="126"/>
      <c r="D158" s="126"/>
      <c r="E158" s="126"/>
      <c r="F158" s="126"/>
      <c r="G158" s="126"/>
      <c r="H158" s="126"/>
      <c r="I158" s="126"/>
      <c r="J158" s="126"/>
      <c r="K158" s="126"/>
      <c r="L158" s="126"/>
      <c r="M158" s="126"/>
      <c r="N158" s="126"/>
      <c r="O158" s="126"/>
      <c r="P158" s="126"/>
      <c r="Q158" s="126"/>
    </row>
    <row r="159" spans="2:17" x14ac:dyDescent="0.35">
      <c r="B159" s="126"/>
      <c r="C159" s="126"/>
      <c r="D159" s="126"/>
      <c r="E159" s="126"/>
      <c r="F159" s="126"/>
      <c r="G159" s="126"/>
      <c r="H159" s="126"/>
      <c r="I159" s="126"/>
      <c r="J159" s="126"/>
      <c r="K159" s="126"/>
      <c r="L159" s="126"/>
      <c r="M159" s="126"/>
      <c r="N159" s="126"/>
      <c r="O159" s="126"/>
      <c r="P159" s="126"/>
      <c r="Q159" s="126"/>
    </row>
  </sheetData>
  <sheetProtection formatColumns="0" formatRows="0"/>
  <mergeCells count="8">
    <mergeCell ref="B88:C88"/>
    <mergeCell ref="B108:C108"/>
    <mergeCell ref="B2:E2"/>
    <mergeCell ref="E4:G6"/>
    <mergeCell ref="B8:C8"/>
    <mergeCell ref="B28:C28"/>
    <mergeCell ref="B48:C48"/>
    <mergeCell ref="B68:C68"/>
  </mergeCells>
  <hyperlinks>
    <hyperlink ref="E4:G6" location="'1-StartingPoint'!A1" display="Return to Starting Point"/>
  </hyperlinks>
  <pageMargins left="0.25" right="0.25" top="0.75" bottom="0.75" header="0.3" footer="0.3"/>
  <pageSetup scale="71" fitToHeight="3" orientation="landscape" r:id="rId1"/>
  <headerFooter scaleWithDoc="0">
    <oddHeader>&amp;C&amp;"Gill Sans MT,Regular"&amp;12Amortization and Depreciation Schedule</oddHeader>
  </headerFooter>
  <rowBreaks count="3" manualBreakCount="3">
    <brk id="46" min="1" max="14" man="1"/>
    <brk id="86" min="1" max="14" man="1"/>
    <brk id="129" min="1" max="1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L53"/>
  <sheetViews>
    <sheetView topLeftCell="A37" zoomScaleNormal="100" zoomScalePageLayoutView="60" workbookViewId="0">
      <selection activeCell="J32" sqref="J32"/>
    </sheetView>
  </sheetViews>
  <sheetFormatPr defaultColWidth="8.875" defaultRowHeight="15" x14ac:dyDescent="0.3"/>
  <cols>
    <col min="1" max="1" width="8.875" style="21"/>
    <col min="2" max="2" width="35" style="21" bestFit="1" customWidth="1"/>
    <col min="3" max="3" width="20.75" style="21" customWidth="1"/>
    <col min="4" max="4" width="21.625" style="21" bestFit="1" customWidth="1"/>
    <col min="5" max="5" width="11.125" style="21" bestFit="1" customWidth="1"/>
    <col min="6" max="6" width="22.25" style="21" customWidth="1"/>
    <col min="7" max="7" width="19.75" style="21" bestFit="1" customWidth="1"/>
    <col min="8" max="8" width="16.375" style="21" customWidth="1"/>
    <col min="9" max="257" width="8.875" style="21"/>
    <col min="258" max="258" width="35" style="21" bestFit="1" customWidth="1"/>
    <col min="259" max="259" width="20.75" style="21" customWidth="1"/>
    <col min="260" max="260" width="21.625" style="21" bestFit="1" customWidth="1"/>
    <col min="261" max="261" width="11.125" style="21" bestFit="1" customWidth="1"/>
    <col min="262" max="262" width="22.25" style="21" customWidth="1"/>
    <col min="263" max="263" width="19.75" style="21" bestFit="1" customWidth="1"/>
    <col min="264" max="264" width="16.375" style="21" customWidth="1"/>
    <col min="265" max="513" width="8.875" style="21"/>
    <col min="514" max="514" width="35" style="21" bestFit="1" customWidth="1"/>
    <col min="515" max="515" width="20.75" style="21" customWidth="1"/>
    <col min="516" max="516" width="21.625" style="21" bestFit="1" customWidth="1"/>
    <col min="517" max="517" width="11.125" style="21" bestFit="1" customWidth="1"/>
    <col min="518" max="518" width="22.25" style="21" customWidth="1"/>
    <col min="519" max="519" width="19.75" style="21" bestFit="1" customWidth="1"/>
    <col min="520" max="520" width="16.375" style="21" customWidth="1"/>
    <col min="521" max="769" width="8.875" style="21"/>
    <col min="770" max="770" width="35" style="21" bestFit="1" customWidth="1"/>
    <col min="771" max="771" width="20.75" style="21" customWidth="1"/>
    <col min="772" max="772" width="21.625" style="21" bestFit="1" customWidth="1"/>
    <col min="773" max="773" width="11.125" style="21" bestFit="1" customWidth="1"/>
    <col min="774" max="774" width="22.25" style="21" customWidth="1"/>
    <col min="775" max="775" width="19.75" style="21" bestFit="1" customWidth="1"/>
    <col min="776" max="776" width="16.375" style="21" customWidth="1"/>
    <col min="777" max="1025" width="8.875" style="21"/>
    <col min="1026" max="1026" width="35" style="21" bestFit="1" customWidth="1"/>
    <col min="1027" max="1027" width="20.75" style="21" customWidth="1"/>
    <col min="1028" max="1028" width="21.625" style="21" bestFit="1" customWidth="1"/>
    <col min="1029" max="1029" width="11.125" style="21" bestFit="1" customWidth="1"/>
    <col min="1030" max="1030" width="22.25" style="21" customWidth="1"/>
    <col min="1031" max="1031" width="19.75" style="21" bestFit="1" customWidth="1"/>
    <col min="1032" max="1032" width="16.375" style="21" customWidth="1"/>
    <col min="1033" max="1281" width="8.875" style="21"/>
    <col min="1282" max="1282" width="35" style="21" bestFit="1" customWidth="1"/>
    <col min="1283" max="1283" width="20.75" style="21" customWidth="1"/>
    <col min="1284" max="1284" width="21.625" style="21" bestFit="1" customWidth="1"/>
    <col min="1285" max="1285" width="11.125" style="21" bestFit="1" customWidth="1"/>
    <col min="1286" max="1286" width="22.25" style="21" customWidth="1"/>
    <col min="1287" max="1287" width="19.75" style="21" bestFit="1" customWidth="1"/>
    <col min="1288" max="1288" width="16.375" style="21" customWidth="1"/>
    <col min="1289" max="1537" width="8.875" style="21"/>
    <col min="1538" max="1538" width="35" style="21" bestFit="1" customWidth="1"/>
    <col min="1539" max="1539" width="20.75" style="21" customWidth="1"/>
    <col min="1540" max="1540" width="21.625" style="21" bestFit="1" customWidth="1"/>
    <col min="1541" max="1541" width="11.125" style="21" bestFit="1" customWidth="1"/>
    <col min="1542" max="1542" width="22.25" style="21" customWidth="1"/>
    <col min="1543" max="1543" width="19.75" style="21" bestFit="1" customWidth="1"/>
    <col min="1544" max="1544" width="16.375" style="21" customWidth="1"/>
    <col min="1545" max="1793" width="8.875" style="21"/>
    <col min="1794" max="1794" width="35" style="21" bestFit="1" customWidth="1"/>
    <col min="1795" max="1795" width="20.75" style="21" customWidth="1"/>
    <col min="1796" max="1796" width="21.625" style="21" bestFit="1" customWidth="1"/>
    <col min="1797" max="1797" width="11.125" style="21" bestFit="1" customWidth="1"/>
    <col min="1798" max="1798" width="22.25" style="21" customWidth="1"/>
    <col min="1799" max="1799" width="19.75" style="21" bestFit="1" customWidth="1"/>
    <col min="1800" max="1800" width="16.375" style="21" customWidth="1"/>
    <col min="1801" max="2049" width="8.875" style="21"/>
    <col min="2050" max="2050" width="35" style="21" bestFit="1" customWidth="1"/>
    <col min="2051" max="2051" width="20.75" style="21" customWidth="1"/>
    <col min="2052" max="2052" width="21.625" style="21" bestFit="1" customWidth="1"/>
    <col min="2053" max="2053" width="11.125" style="21" bestFit="1" customWidth="1"/>
    <col min="2054" max="2054" width="22.25" style="21" customWidth="1"/>
    <col min="2055" max="2055" width="19.75" style="21" bestFit="1" customWidth="1"/>
    <col min="2056" max="2056" width="16.375" style="21" customWidth="1"/>
    <col min="2057" max="2305" width="8.875" style="21"/>
    <col min="2306" max="2306" width="35" style="21" bestFit="1" customWidth="1"/>
    <col min="2307" max="2307" width="20.75" style="21" customWidth="1"/>
    <col min="2308" max="2308" width="21.625" style="21" bestFit="1" customWidth="1"/>
    <col min="2309" max="2309" width="11.125" style="21" bestFit="1" customWidth="1"/>
    <col min="2310" max="2310" width="22.25" style="21" customWidth="1"/>
    <col min="2311" max="2311" width="19.75" style="21" bestFit="1" customWidth="1"/>
    <col min="2312" max="2312" width="16.375" style="21" customWidth="1"/>
    <col min="2313" max="2561" width="8.875" style="21"/>
    <col min="2562" max="2562" width="35" style="21" bestFit="1" customWidth="1"/>
    <col min="2563" max="2563" width="20.75" style="21" customWidth="1"/>
    <col min="2564" max="2564" width="21.625" style="21" bestFit="1" customWidth="1"/>
    <col min="2565" max="2565" width="11.125" style="21" bestFit="1" customWidth="1"/>
    <col min="2566" max="2566" width="22.25" style="21" customWidth="1"/>
    <col min="2567" max="2567" width="19.75" style="21" bestFit="1" customWidth="1"/>
    <col min="2568" max="2568" width="16.375" style="21" customWidth="1"/>
    <col min="2569" max="2817" width="8.875" style="21"/>
    <col min="2818" max="2818" width="35" style="21" bestFit="1" customWidth="1"/>
    <col min="2819" max="2819" width="20.75" style="21" customWidth="1"/>
    <col min="2820" max="2820" width="21.625" style="21" bestFit="1" customWidth="1"/>
    <col min="2821" max="2821" width="11.125" style="21" bestFit="1" customWidth="1"/>
    <col min="2822" max="2822" width="22.25" style="21" customWidth="1"/>
    <col min="2823" max="2823" width="19.75" style="21" bestFit="1" customWidth="1"/>
    <col min="2824" max="2824" width="16.375" style="21" customWidth="1"/>
    <col min="2825" max="3073" width="8.875" style="21"/>
    <col min="3074" max="3074" width="35" style="21" bestFit="1" customWidth="1"/>
    <col min="3075" max="3075" width="20.75" style="21" customWidth="1"/>
    <col min="3076" max="3076" width="21.625" style="21" bestFit="1" customWidth="1"/>
    <col min="3077" max="3077" width="11.125" style="21" bestFit="1" customWidth="1"/>
    <col min="3078" max="3078" width="22.25" style="21" customWidth="1"/>
    <col min="3079" max="3079" width="19.75" style="21" bestFit="1" customWidth="1"/>
    <col min="3080" max="3080" width="16.375" style="21" customWidth="1"/>
    <col min="3081" max="3329" width="8.875" style="21"/>
    <col min="3330" max="3330" width="35" style="21" bestFit="1" customWidth="1"/>
    <col min="3331" max="3331" width="20.75" style="21" customWidth="1"/>
    <col min="3332" max="3332" width="21.625" style="21" bestFit="1" customWidth="1"/>
    <col min="3333" max="3333" width="11.125" style="21" bestFit="1" customWidth="1"/>
    <col min="3334" max="3334" width="22.25" style="21" customWidth="1"/>
    <col min="3335" max="3335" width="19.75" style="21" bestFit="1" customWidth="1"/>
    <col min="3336" max="3336" width="16.375" style="21" customWidth="1"/>
    <col min="3337" max="3585" width="8.875" style="21"/>
    <col min="3586" max="3586" width="35" style="21" bestFit="1" customWidth="1"/>
    <col min="3587" max="3587" width="20.75" style="21" customWidth="1"/>
    <col min="3588" max="3588" width="21.625" style="21" bestFit="1" customWidth="1"/>
    <col min="3589" max="3589" width="11.125" style="21" bestFit="1" customWidth="1"/>
    <col min="3590" max="3590" width="22.25" style="21" customWidth="1"/>
    <col min="3591" max="3591" width="19.75" style="21" bestFit="1" customWidth="1"/>
    <col min="3592" max="3592" width="16.375" style="21" customWidth="1"/>
    <col min="3593" max="3841" width="8.875" style="21"/>
    <col min="3842" max="3842" width="35" style="21" bestFit="1" customWidth="1"/>
    <col min="3843" max="3843" width="20.75" style="21" customWidth="1"/>
    <col min="3844" max="3844" width="21.625" style="21" bestFit="1" customWidth="1"/>
    <col min="3845" max="3845" width="11.125" style="21" bestFit="1" customWidth="1"/>
    <col min="3846" max="3846" width="22.25" style="21" customWidth="1"/>
    <col min="3847" max="3847" width="19.75" style="21" bestFit="1" customWidth="1"/>
    <col min="3848" max="3848" width="16.375" style="21" customWidth="1"/>
    <col min="3849" max="4097" width="8.875" style="21"/>
    <col min="4098" max="4098" width="35" style="21" bestFit="1" customWidth="1"/>
    <col min="4099" max="4099" width="20.75" style="21" customWidth="1"/>
    <col min="4100" max="4100" width="21.625" style="21" bestFit="1" customWidth="1"/>
    <col min="4101" max="4101" width="11.125" style="21" bestFit="1" customWidth="1"/>
    <col min="4102" max="4102" width="22.25" style="21" customWidth="1"/>
    <col min="4103" max="4103" width="19.75" style="21" bestFit="1" customWidth="1"/>
    <col min="4104" max="4104" width="16.375" style="21" customWidth="1"/>
    <col min="4105" max="4353" width="8.875" style="21"/>
    <col min="4354" max="4354" width="35" style="21" bestFit="1" customWidth="1"/>
    <col min="4355" max="4355" width="20.75" style="21" customWidth="1"/>
    <col min="4356" max="4356" width="21.625" style="21" bestFit="1" customWidth="1"/>
    <col min="4357" max="4357" width="11.125" style="21" bestFit="1" customWidth="1"/>
    <col min="4358" max="4358" width="22.25" style="21" customWidth="1"/>
    <col min="4359" max="4359" width="19.75" style="21" bestFit="1" customWidth="1"/>
    <col min="4360" max="4360" width="16.375" style="21" customWidth="1"/>
    <col min="4361" max="4609" width="8.875" style="21"/>
    <col min="4610" max="4610" width="35" style="21" bestFit="1" customWidth="1"/>
    <col min="4611" max="4611" width="20.75" style="21" customWidth="1"/>
    <col min="4612" max="4612" width="21.625" style="21" bestFit="1" customWidth="1"/>
    <col min="4613" max="4613" width="11.125" style="21" bestFit="1" customWidth="1"/>
    <col min="4614" max="4614" width="22.25" style="21" customWidth="1"/>
    <col min="4615" max="4615" width="19.75" style="21" bestFit="1" customWidth="1"/>
    <col min="4616" max="4616" width="16.375" style="21" customWidth="1"/>
    <col min="4617" max="4865" width="8.875" style="21"/>
    <col min="4866" max="4866" width="35" style="21" bestFit="1" customWidth="1"/>
    <col min="4867" max="4867" width="20.75" style="21" customWidth="1"/>
    <col min="4868" max="4868" width="21.625" style="21" bestFit="1" customWidth="1"/>
    <col min="4869" max="4869" width="11.125" style="21" bestFit="1" customWidth="1"/>
    <col min="4870" max="4870" width="22.25" style="21" customWidth="1"/>
    <col min="4871" max="4871" width="19.75" style="21" bestFit="1" customWidth="1"/>
    <col min="4872" max="4872" width="16.375" style="21" customWidth="1"/>
    <col min="4873" max="5121" width="8.875" style="21"/>
    <col min="5122" max="5122" width="35" style="21" bestFit="1" customWidth="1"/>
    <col min="5123" max="5123" width="20.75" style="21" customWidth="1"/>
    <col min="5124" max="5124" width="21.625" style="21" bestFit="1" customWidth="1"/>
    <col min="5125" max="5125" width="11.125" style="21" bestFit="1" customWidth="1"/>
    <col min="5126" max="5126" width="22.25" style="21" customWidth="1"/>
    <col min="5127" max="5127" width="19.75" style="21" bestFit="1" customWidth="1"/>
    <col min="5128" max="5128" width="16.375" style="21" customWidth="1"/>
    <col min="5129" max="5377" width="8.875" style="21"/>
    <col min="5378" max="5378" width="35" style="21" bestFit="1" customWidth="1"/>
    <col min="5379" max="5379" width="20.75" style="21" customWidth="1"/>
    <col min="5380" max="5380" width="21.625" style="21" bestFit="1" customWidth="1"/>
    <col min="5381" max="5381" width="11.125" style="21" bestFit="1" customWidth="1"/>
    <col min="5382" max="5382" width="22.25" style="21" customWidth="1"/>
    <col min="5383" max="5383" width="19.75" style="21" bestFit="1" customWidth="1"/>
    <col min="5384" max="5384" width="16.375" style="21" customWidth="1"/>
    <col min="5385" max="5633" width="8.875" style="21"/>
    <col min="5634" max="5634" width="35" style="21" bestFit="1" customWidth="1"/>
    <col min="5635" max="5635" width="20.75" style="21" customWidth="1"/>
    <col min="5636" max="5636" width="21.625" style="21" bestFit="1" customWidth="1"/>
    <col min="5637" max="5637" width="11.125" style="21" bestFit="1" customWidth="1"/>
    <col min="5638" max="5638" width="22.25" style="21" customWidth="1"/>
    <col min="5639" max="5639" width="19.75" style="21" bestFit="1" customWidth="1"/>
    <col min="5640" max="5640" width="16.375" style="21" customWidth="1"/>
    <col min="5641" max="5889" width="8.875" style="21"/>
    <col min="5890" max="5890" width="35" style="21" bestFit="1" customWidth="1"/>
    <col min="5891" max="5891" width="20.75" style="21" customWidth="1"/>
    <col min="5892" max="5892" width="21.625" style="21" bestFit="1" customWidth="1"/>
    <col min="5893" max="5893" width="11.125" style="21" bestFit="1" customWidth="1"/>
    <col min="5894" max="5894" width="22.25" style="21" customWidth="1"/>
    <col min="5895" max="5895" width="19.75" style="21" bestFit="1" customWidth="1"/>
    <col min="5896" max="5896" width="16.375" style="21" customWidth="1"/>
    <col min="5897" max="6145" width="8.875" style="21"/>
    <col min="6146" max="6146" width="35" style="21" bestFit="1" customWidth="1"/>
    <col min="6147" max="6147" width="20.75" style="21" customWidth="1"/>
    <col min="6148" max="6148" width="21.625" style="21" bestFit="1" customWidth="1"/>
    <col min="6149" max="6149" width="11.125" style="21" bestFit="1" customWidth="1"/>
    <col min="6150" max="6150" width="22.25" style="21" customWidth="1"/>
    <col min="6151" max="6151" width="19.75" style="21" bestFit="1" customWidth="1"/>
    <col min="6152" max="6152" width="16.375" style="21" customWidth="1"/>
    <col min="6153" max="6401" width="8.875" style="21"/>
    <col min="6402" max="6402" width="35" style="21" bestFit="1" customWidth="1"/>
    <col min="6403" max="6403" width="20.75" style="21" customWidth="1"/>
    <col min="6404" max="6404" width="21.625" style="21" bestFit="1" customWidth="1"/>
    <col min="6405" max="6405" width="11.125" style="21" bestFit="1" customWidth="1"/>
    <col min="6406" max="6406" width="22.25" style="21" customWidth="1"/>
    <col min="6407" max="6407" width="19.75" style="21" bestFit="1" customWidth="1"/>
    <col min="6408" max="6408" width="16.375" style="21" customWidth="1"/>
    <col min="6409" max="6657" width="8.875" style="21"/>
    <col min="6658" max="6658" width="35" style="21" bestFit="1" customWidth="1"/>
    <col min="6659" max="6659" width="20.75" style="21" customWidth="1"/>
    <col min="6660" max="6660" width="21.625" style="21" bestFit="1" customWidth="1"/>
    <col min="6661" max="6661" width="11.125" style="21" bestFit="1" customWidth="1"/>
    <col min="6662" max="6662" width="22.25" style="21" customWidth="1"/>
    <col min="6663" max="6663" width="19.75" style="21" bestFit="1" customWidth="1"/>
    <col min="6664" max="6664" width="16.375" style="21" customWidth="1"/>
    <col min="6665" max="6913" width="8.875" style="21"/>
    <col min="6914" max="6914" width="35" style="21" bestFit="1" customWidth="1"/>
    <col min="6915" max="6915" width="20.75" style="21" customWidth="1"/>
    <col min="6916" max="6916" width="21.625" style="21" bestFit="1" customWidth="1"/>
    <col min="6917" max="6917" width="11.125" style="21" bestFit="1" customWidth="1"/>
    <col min="6918" max="6918" width="22.25" style="21" customWidth="1"/>
    <col min="6919" max="6919" width="19.75" style="21" bestFit="1" customWidth="1"/>
    <col min="6920" max="6920" width="16.375" style="21" customWidth="1"/>
    <col min="6921" max="7169" width="8.875" style="21"/>
    <col min="7170" max="7170" width="35" style="21" bestFit="1" customWidth="1"/>
    <col min="7171" max="7171" width="20.75" style="21" customWidth="1"/>
    <col min="7172" max="7172" width="21.625" style="21" bestFit="1" customWidth="1"/>
    <col min="7173" max="7173" width="11.125" style="21" bestFit="1" customWidth="1"/>
    <col min="7174" max="7174" width="22.25" style="21" customWidth="1"/>
    <col min="7175" max="7175" width="19.75" style="21" bestFit="1" customWidth="1"/>
    <col min="7176" max="7176" width="16.375" style="21" customWidth="1"/>
    <col min="7177" max="7425" width="8.875" style="21"/>
    <col min="7426" max="7426" width="35" style="21" bestFit="1" customWidth="1"/>
    <col min="7427" max="7427" width="20.75" style="21" customWidth="1"/>
    <col min="7428" max="7428" width="21.625" style="21" bestFit="1" customWidth="1"/>
    <col min="7429" max="7429" width="11.125" style="21" bestFit="1" customWidth="1"/>
    <col min="7430" max="7430" width="22.25" style="21" customWidth="1"/>
    <col min="7431" max="7431" width="19.75" style="21" bestFit="1" customWidth="1"/>
    <col min="7432" max="7432" width="16.375" style="21" customWidth="1"/>
    <col min="7433" max="7681" width="8.875" style="21"/>
    <col min="7682" max="7682" width="35" style="21" bestFit="1" customWidth="1"/>
    <col min="7683" max="7683" width="20.75" style="21" customWidth="1"/>
    <col min="7684" max="7684" width="21.625" style="21" bestFit="1" customWidth="1"/>
    <col min="7685" max="7685" width="11.125" style="21" bestFit="1" customWidth="1"/>
    <col min="7686" max="7686" width="22.25" style="21" customWidth="1"/>
    <col min="7687" max="7687" width="19.75" style="21" bestFit="1" customWidth="1"/>
    <col min="7688" max="7688" width="16.375" style="21" customWidth="1"/>
    <col min="7689" max="7937" width="8.875" style="21"/>
    <col min="7938" max="7938" width="35" style="21" bestFit="1" customWidth="1"/>
    <col min="7939" max="7939" width="20.75" style="21" customWidth="1"/>
    <col min="7940" max="7940" width="21.625" style="21" bestFit="1" customWidth="1"/>
    <col min="7941" max="7941" width="11.125" style="21" bestFit="1" customWidth="1"/>
    <col min="7942" max="7942" width="22.25" style="21" customWidth="1"/>
    <col min="7943" max="7943" width="19.75" style="21" bestFit="1" customWidth="1"/>
    <col min="7944" max="7944" width="16.375" style="21" customWidth="1"/>
    <col min="7945" max="8193" width="8.875" style="21"/>
    <col min="8194" max="8194" width="35" style="21" bestFit="1" customWidth="1"/>
    <col min="8195" max="8195" width="20.75" style="21" customWidth="1"/>
    <col min="8196" max="8196" width="21.625" style="21" bestFit="1" customWidth="1"/>
    <col min="8197" max="8197" width="11.125" style="21" bestFit="1" customWidth="1"/>
    <col min="8198" max="8198" width="22.25" style="21" customWidth="1"/>
    <col min="8199" max="8199" width="19.75" style="21" bestFit="1" customWidth="1"/>
    <col min="8200" max="8200" width="16.375" style="21" customWidth="1"/>
    <col min="8201" max="8449" width="8.875" style="21"/>
    <col min="8450" max="8450" width="35" style="21" bestFit="1" customWidth="1"/>
    <col min="8451" max="8451" width="20.75" style="21" customWidth="1"/>
    <col min="8452" max="8452" width="21.625" style="21" bestFit="1" customWidth="1"/>
    <col min="8453" max="8453" width="11.125" style="21" bestFit="1" customWidth="1"/>
    <col min="8454" max="8454" width="22.25" style="21" customWidth="1"/>
    <col min="8455" max="8455" width="19.75" style="21" bestFit="1" customWidth="1"/>
    <col min="8456" max="8456" width="16.375" style="21" customWidth="1"/>
    <col min="8457" max="8705" width="8.875" style="21"/>
    <col min="8706" max="8706" width="35" style="21" bestFit="1" customWidth="1"/>
    <col min="8707" max="8707" width="20.75" style="21" customWidth="1"/>
    <col min="8708" max="8708" width="21.625" style="21" bestFit="1" customWidth="1"/>
    <col min="8709" max="8709" width="11.125" style="21" bestFit="1" customWidth="1"/>
    <col min="8710" max="8710" width="22.25" style="21" customWidth="1"/>
    <col min="8711" max="8711" width="19.75" style="21" bestFit="1" customWidth="1"/>
    <col min="8712" max="8712" width="16.375" style="21" customWidth="1"/>
    <col min="8713" max="8961" width="8.875" style="21"/>
    <col min="8962" max="8962" width="35" style="21" bestFit="1" customWidth="1"/>
    <col min="8963" max="8963" width="20.75" style="21" customWidth="1"/>
    <col min="8964" max="8964" width="21.625" style="21" bestFit="1" customWidth="1"/>
    <col min="8965" max="8965" width="11.125" style="21" bestFit="1" customWidth="1"/>
    <col min="8966" max="8966" width="22.25" style="21" customWidth="1"/>
    <col min="8967" max="8967" width="19.75" style="21" bestFit="1" customWidth="1"/>
    <col min="8968" max="8968" width="16.375" style="21" customWidth="1"/>
    <col min="8969" max="9217" width="8.875" style="21"/>
    <col min="9218" max="9218" width="35" style="21" bestFit="1" customWidth="1"/>
    <col min="9219" max="9219" width="20.75" style="21" customWidth="1"/>
    <col min="9220" max="9220" width="21.625" style="21" bestFit="1" customWidth="1"/>
    <col min="9221" max="9221" width="11.125" style="21" bestFit="1" customWidth="1"/>
    <col min="9222" max="9222" width="22.25" style="21" customWidth="1"/>
    <col min="9223" max="9223" width="19.75" style="21" bestFit="1" customWidth="1"/>
    <col min="9224" max="9224" width="16.375" style="21" customWidth="1"/>
    <col min="9225" max="9473" width="8.875" style="21"/>
    <col min="9474" max="9474" width="35" style="21" bestFit="1" customWidth="1"/>
    <col min="9475" max="9475" width="20.75" style="21" customWidth="1"/>
    <col min="9476" max="9476" width="21.625" style="21" bestFit="1" customWidth="1"/>
    <col min="9477" max="9477" width="11.125" style="21" bestFit="1" customWidth="1"/>
    <col min="9478" max="9478" width="22.25" style="21" customWidth="1"/>
    <col min="9479" max="9479" width="19.75" style="21" bestFit="1" customWidth="1"/>
    <col min="9480" max="9480" width="16.375" style="21" customWidth="1"/>
    <col min="9481" max="9729" width="8.875" style="21"/>
    <col min="9730" max="9730" width="35" style="21" bestFit="1" customWidth="1"/>
    <col min="9731" max="9731" width="20.75" style="21" customWidth="1"/>
    <col min="9732" max="9732" width="21.625" style="21" bestFit="1" customWidth="1"/>
    <col min="9733" max="9733" width="11.125" style="21" bestFit="1" customWidth="1"/>
    <col min="9734" max="9734" width="22.25" style="21" customWidth="1"/>
    <col min="9735" max="9735" width="19.75" style="21" bestFit="1" customWidth="1"/>
    <col min="9736" max="9736" width="16.375" style="21" customWidth="1"/>
    <col min="9737" max="9985" width="8.875" style="21"/>
    <col min="9986" max="9986" width="35" style="21" bestFit="1" customWidth="1"/>
    <col min="9987" max="9987" width="20.75" style="21" customWidth="1"/>
    <col min="9988" max="9988" width="21.625" style="21" bestFit="1" customWidth="1"/>
    <col min="9989" max="9989" width="11.125" style="21" bestFit="1" customWidth="1"/>
    <col min="9990" max="9990" width="22.25" style="21" customWidth="1"/>
    <col min="9991" max="9991" width="19.75" style="21" bestFit="1" customWidth="1"/>
    <col min="9992" max="9992" width="16.375" style="21" customWidth="1"/>
    <col min="9993" max="10241" width="8.875" style="21"/>
    <col min="10242" max="10242" width="35" style="21" bestFit="1" customWidth="1"/>
    <col min="10243" max="10243" width="20.75" style="21" customWidth="1"/>
    <col min="10244" max="10244" width="21.625" style="21" bestFit="1" customWidth="1"/>
    <col min="10245" max="10245" width="11.125" style="21" bestFit="1" customWidth="1"/>
    <col min="10246" max="10246" width="22.25" style="21" customWidth="1"/>
    <col min="10247" max="10247" width="19.75" style="21" bestFit="1" customWidth="1"/>
    <col min="10248" max="10248" width="16.375" style="21" customWidth="1"/>
    <col min="10249" max="10497" width="8.875" style="21"/>
    <col min="10498" max="10498" width="35" style="21" bestFit="1" customWidth="1"/>
    <col min="10499" max="10499" width="20.75" style="21" customWidth="1"/>
    <col min="10500" max="10500" width="21.625" style="21" bestFit="1" customWidth="1"/>
    <col min="10501" max="10501" width="11.125" style="21" bestFit="1" customWidth="1"/>
    <col min="10502" max="10502" width="22.25" style="21" customWidth="1"/>
    <col min="10503" max="10503" width="19.75" style="21" bestFit="1" customWidth="1"/>
    <col min="10504" max="10504" width="16.375" style="21" customWidth="1"/>
    <col min="10505" max="10753" width="8.875" style="21"/>
    <col min="10754" max="10754" width="35" style="21" bestFit="1" customWidth="1"/>
    <col min="10755" max="10755" width="20.75" style="21" customWidth="1"/>
    <col min="10756" max="10756" width="21.625" style="21" bestFit="1" customWidth="1"/>
    <col min="10757" max="10757" width="11.125" style="21" bestFit="1" customWidth="1"/>
    <col min="10758" max="10758" width="22.25" style="21" customWidth="1"/>
    <col min="10759" max="10759" width="19.75" style="21" bestFit="1" customWidth="1"/>
    <col min="10760" max="10760" width="16.375" style="21" customWidth="1"/>
    <col min="10761" max="11009" width="8.875" style="21"/>
    <col min="11010" max="11010" width="35" style="21" bestFit="1" customWidth="1"/>
    <col min="11011" max="11011" width="20.75" style="21" customWidth="1"/>
    <col min="11012" max="11012" width="21.625" style="21" bestFit="1" customWidth="1"/>
    <col min="11013" max="11013" width="11.125" style="21" bestFit="1" customWidth="1"/>
    <col min="11014" max="11014" width="22.25" style="21" customWidth="1"/>
    <col min="11015" max="11015" width="19.75" style="21" bestFit="1" customWidth="1"/>
    <col min="11016" max="11016" width="16.375" style="21" customWidth="1"/>
    <col min="11017" max="11265" width="8.875" style="21"/>
    <col min="11266" max="11266" width="35" style="21" bestFit="1" customWidth="1"/>
    <col min="11267" max="11267" width="20.75" style="21" customWidth="1"/>
    <col min="11268" max="11268" width="21.625" style="21" bestFit="1" customWidth="1"/>
    <col min="11269" max="11269" width="11.125" style="21" bestFit="1" customWidth="1"/>
    <col min="11270" max="11270" width="22.25" style="21" customWidth="1"/>
    <col min="11271" max="11271" width="19.75" style="21" bestFit="1" customWidth="1"/>
    <col min="11272" max="11272" width="16.375" style="21" customWidth="1"/>
    <col min="11273" max="11521" width="8.875" style="21"/>
    <col min="11522" max="11522" width="35" style="21" bestFit="1" customWidth="1"/>
    <col min="11523" max="11523" width="20.75" style="21" customWidth="1"/>
    <col min="11524" max="11524" width="21.625" style="21" bestFit="1" customWidth="1"/>
    <col min="11525" max="11525" width="11.125" style="21" bestFit="1" customWidth="1"/>
    <col min="11526" max="11526" width="22.25" style="21" customWidth="1"/>
    <col min="11527" max="11527" width="19.75" style="21" bestFit="1" customWidth="1"/>
    <col min="11528" max="11528" width="16.375" style="21" customWidth="1"/>
    <col min="11529" max="11777" width="8.875" style="21"/>
    <col min="11778" max="11778" width="35" style="21" bestFit="1" customWidth="1"/>
    <col min="11779" max="11779" width="20.75" style="21" customWidth="1"/>
    <col min="11780" max="11780" width="21.625" style="21" bestFit="1" customWidth="1"/>
    <col min="11781" max="11781" width="11.125" style="21" bestFit="1" customWidth="1"/>
    <col min="11782" max="11782" width="22.25" style="21" customWidth="1"/>
    <col min="11783" max="11783" width="19.75" style="21" bestFit="1" customWidth="1"/>
    <col min="11784" max="11784" width="16.375" style="21" customWidth="1"/>
    <col min="11785" max="12033" width="8.875" style="21"/>
    <col min="12034" max="12034" width="35" style="21" bestFit="1" customWidth="1"/>
    <col min="12035" max="12035" width="20.75" style="21" customWidth="1"/>
    <col min="12036" max="12036" width="21.625" style="21" bestFit="1" customWidth="1"/>
    <col min="12037" max="12037" width="11.125" style="21" bestFit="1" customWidth="1"/>
    <col min="12038" max="12038" width="22.25" style="21" customWidth="1"/>
    <col min="12039" max="12039" width="19.75" style="21" bestFit="1" customWidth="1"/>
    <col min="12040" max="12040" width="16.375" style="21" customWidth="1"/>
    <col min="12041" max="12289" width="8.875" style="21"/>
    <col min="12290" max="12290" width="35" style="21" bestFit="1" customWidth="1"/>
    <col min="12291" max="12291" width="20.75" style="21" customWidth="1"/>
    <col min="12292" max="12292" width="21.625" style="21" bestFit="1" customWidth="1"/>
    <col min="12293" max="12293" width="11.125" style="21" bestFit="1" customWidth="1"/>
    <col min="12294" max="12294" width="22.25" style="21" customWidth="1"/>
    <col min="12295" max="12295" width="19.75" style="21" bestFit="1" customWidth="1"/>
    <col min="12296" max="12296" width="16.375" style="21" customWidth="1"/>
    <col min="12297" max="12545" width="8.875" style="21"/>
    <col min="12546" max="12546" width="35" style="21" bestFit="1" customWidth="1"/>
    <col min="12547" max="12547" width="20.75" style="21" customWidth="1"/>
    <col min="12548" max="12548" width="21.625" style="21" bestFit="1" customWidth="1"/>
    <col min="12549" max="12549" width="11.125" style="21" bestFit="1" customWidth="1"/>
    <col min="12550" max="12550" width="22.25" style="21" customWidth="1"/>
    <col min="12551" max="12551" width="19.75" style="21" bestFit="1" customWidth="1"/>
    <col min="12552" max="12552" width="16.375" style="21" customWidth="1"/>
    <col min="12553" max="12801" width="8.875" style="21"/>
    <col min="12802" max="12802" width="35" style="21" bestFit="1" customWidth="1"/>
    <col min="12803" max="12803" width="20.75" style="21" customWidth="1"/>
    <col min="12804" max="12804" width="21.625" style="21" bestFit="1" customWidth="1"/>
    <col min="12805" max="12805" width="11.125" style="21" bestFit="1" customWidth="1"/>
    <col min="12806" max="12806" width="22.25" style="21" customWidth="1"/>
    <col min="12807" max="12807" width="19.75" style="21" bestFit="1" customWidth="1"/>
    <col min="12808" max="12808" width="16.375" style="21" customWidth="1"/>
    <col min="12809" max="13057" width="8.875" style="21"/>
    <col min="13058" max="13058" width="35" style="21" bestFit="1" customWidth="1"/>
    <col min="13059" max="13059" width="20.75" style="21" customWidth="1"/>
    <col min="13060" max="13060" width="21.625" style="21" bestFit="1" customWidth="1"/>
    <col min="13061" max="13061" width="11.125" style="21" bestFit="1" customWidth="1"/>
    <col min="13062" max="13062" width="22.25" style="21" customWidth="1"/>
    <col min="13063" max="13063" width="19.75" style="21" bestFit="1" customWidth="1"/>
    <col min="13064" max="13064" width="16.375" style="21" customWidth="1"/>
    <col min="13065" max="13313" width="8.875" style="21"/>
    <col min="13314" max="13314" width="35" style="21" bestFit="1" customWidth="1"/>
    <col min="13315" max="13315" width="20.75" style="21" customWidth="1"/>
    <col min="13316" max="13316" width="21.625" style="21" bestFit="1" customWidth="1"/>
    <col min="13317" max="13317" width="11.125" style="21" bestFit="1" customWidth="1"/>
    <col min="13318" max="13318" width="22.25" style="21" customWidth="1"/>
    <col min="13319" max="13319" width="19.75" style="21" bestFit="1" customWidth="1"/>
    <col min="13320" max="13320" width="16.375" style="21" customWidth="1"/>
    <col min="13321" max="13569" width="8.875" style="21"/>
    <col min="13570" max="13570" width="35" style="21" bestFit="1" customWidth="1"/>
    <col min="13571" max="13571" width="20.75" style="21" customWidth="1"/>
    <col min="13572" max="13572" width="21.625" style="21" bestFit="1" customWidth="1"/>
    <col min="13573" max="13573" width="11.125" style="21" bestFit="1" customWidth="1"/>
    <col min="13574" max="13574" width="22.25" style="21" customWidth="1"/>
    <col min="13575" max="13575" width="19.75" style="21" bestFit="1" customWidth="1"/>
    <col min="13576" max="13576" width="16.375" style="21" customWidth="1"/>
    <col min="13577" max="13825" width="8.875" style="21"/>
    <col min="13826" max="13826" width="35" style="21" bestFit="1" customWidth="1"/>
    <col min="13827" max="13827" width="20.75" style="21" customWidth="1"/>
    <col min="13828" max="13828" width="21.625" style="21" bestFit="1" customWidth="1"/>
    <col min="13829" max="13829" width="11.125" style="21" bestFit="1" customWidth="1"/>
    <col min="13830" max="13830" width="22.25" style="21" customWidth="1"/>
    <col min="13831" max="13831" width="19.75" style="21" bestFit="1" customWidth="1"/>
    <col min="13832" max="13832" width="16.375" style="21" customWidth="1"/>
    <col min="13833" max="14081" width="8.875" style="21"/>
    <col min="14082" max="14082" width="35" style="21" bestFit="1" customWidth="1"/>
    <col min="14083" max="14083" width="20.75" style="21" customWidth="1"/>
    <col min="14084" max="14084" width="21.625" style="21" bestFit="1" customWidth="1"/>
    <col min="14085" max="14085" width="11.125" style="21" bestFit="1" customWidth="1"/>
    <col min="14086" max="14086" width="22.25" style="21" customWidth="1"/>
    <col min="14087" max="14087" width="19.75" style="21" bestFit="1" customWidth="1"/>
    <col min="14088" max="14088" width="16.375" style="21" customWidth="1"/>
    <col min="14089" max="14337" width="8.875" style="21"/>
    <col min="14338" max="14338" width="35" style="21" bestFit="1" customWidth="1"/>
    <col min="14339" max="14339" width="20.75" style="21" customWidth="1"/>
    <col min="14340" max="14340" width="21.625" style="21" bestFit="1" customWidth="1"/>
    <col min="14341" max="14341" width="11.125" style="21" bestFit="1" customWidth="1"/>
    <col min="14342" max="14342" width="22.25" style="21" customWidth="1"/>
    <col min="14343" max="14343" width="19.75" style="21" bestFit="1" customWidth="1"/>
    <col min="14344" max="14344" width="16.375" style="21" customWidth="1"/>
    <col min="14345" max="14593" width="8.875" style="21"/>
    <col min="14594" max="14594" width="35" style="21" bestFit="1" customWidth="1"/>
    <col min="14595" max="14595" width="20.75" style="21" customWidth="1"/>
    <col min="14596" max="14596" width="21.625" style="21" bestFit="1" customWidth="1"/>
    <col min="14597" max="14597" width="11.125" style="21" bestFit="1" customWidth="1"/>
    <col min="14598" max="14598" width="22.25" style="21" customWidth="1"/>
    <col min="14599" max="14599" width="19.75" style="21" bestFit="1" customWidth="1"/>
    <col min="14600" max="14600" width="16.375" style="21" customWidth="1"/>
    <col min="14601" max="14849" width="8.875" style="21"/>
    <col min="14850" max="14850" width="35" style="21" bestFit="1" customWidth="1"/>
    <col min="14851" max="14851" width="20.75" style="21" customWidth="1"/>
    <col min="14852" max="14852" width="21.625" style="21" bestFit="1" customWidth="1"/>
    <col min="14853" max="14853" width="11.125" style="21" bestFit="1" customWidth="1"/>
    <col min="14854" max="14854" width="22.25" style="21" customWidth="1"/>
    <col min="14855" max="14855" width="19.75" style="21" bestFit="1" customWidth="1"/>
    <col min="14856" max="14856" width="16.375" style="21" customWidth="1"/>
    <col min="14857" max="15105" width="8.875" style="21"/>
    <col min="15106" max="15106" width="35" style="21" bestFit="1" customWidth="1"/>
    <col min="15107" max="15107" width="20.75" style="21" customWidth="1"/>
    <col min="15108" max="15108" width="21.625" style="21" bestFit="1" customWidth="1"/>
    <col min="15109" max="15109" width="11.125" style="21" bestFit="1" customWidth="1"/>
    <col min="15110" max="15110" width="22.25" style="21" customWidth="1"/>
    <col min="15111" max="15111" width="19.75" style="21" bestFit="1" customWidth="1"/>
    <col min="15112" max="15112" width="16.375" style="21" customWidth="1"/>
    <col min="15113" max="15361" width="8.875" style="21"/>
    <col min="15362" max="15362" width="35" style="21" bestFit="1" customWidth="1"/>
    <col min="15363" max="15363" width="20.75" style="21" customWidth="1"/>
    <col min="15364" max="15364" width="21.625" style="21" bestFit="1" customWidth="1"/>
    <col min="15365" max="15365" width="11.125" style="21" bestFit="1" customWidth="1"/>
    <col min="15366" max="15366" width="22.25" style="21" customWidth="1"/>
    <col min="15367" max="15367" width="19.75" style="21" bestFit="1" customWidth="1"/>
    <col min="15368" max="15368" width="16.375" style="21" customWidth="1"/>
    <col min="15369" max="15617" width="8.875" style="21"/>
    <col min="15618" max="15618" width="35" style="21" bestFit="1" customWidth="1"/>
    <col min="15619" max="15619" width="20.75" style="21" customWidth="1"/>
    <col min="15620" max="15620" width="21.625" style="21" bestFit="1" customWidth="1"/>
    <col min="15621" max="15621" width="11.125" style="21" bestFit="1" customWidth="1"/>
    <col min="15622" max="15622" width="22.25" style="21" customWidth="1"/>
    <col min="15623" max="15623" width="19.75" style="21" bestFit="1" customWidth="1"/>
    <col min="15624" max="15624" width="16.375" style="21" customWidth="1"/>
    <col min="15625" max="15873" width="8.875" style="21"/>
    <col min="15874" max="15874" width="35" style="21" bestFit="1" customWidth="1"/>
    <col min="15875" max="15875" width="20.75" style="21" customWidth="1"/>
    <col min="15876" max="15876" width="21.625" style="21" bestFit="1" customWidth="1"/>
    <col min="15877" max="15877" width="11.125" style="21" bestFit="1" customWidth="1"/>
    <col min="15878" max="15878" width="22.25" style="21" customWidth="1"/>
    <col min="15879" max="15879" width="19.75" style="21" bestFit="1" customWidth="1"/>
    <col min="15880" max="15880" width="16.375" style="21" customWidth="1"/>
    <col min="15881" max="16129" width="8.875" style="21"/>
    <col min="16130" max="16130" width="35" style="21" bestFit="1" customWidth="1"/>
    <col min="16131" max="16131" width="20.75" style="21" customWidth="1"/>
    <col min="16132" max="16132" width="21.625" style="21" bestFit="1" customWidth="1"/>
    <col min="16133" max="16133" width="11.125" style="21" bestFit="1" customWidth="1"/>
    <col min="16134" max="16134" width="22.25" style="21" customWidth="1"/>
    <col min="16135" max="16135" width="19.75" style="21" bestFit="1" customWidth="1"/>
    <col min="16136" max="16136" width="16.375" style="21" customWidth="1"/>
    <col min="16137" max="16384" width="8.875" style="21"/>
  </cols>
  <sheetData>
    <row r="1" spans="1:10" x14ac:dyDescent="0.3">
      <c r="A1" s="20"/>
      <c r="B1" s="20"/>
      <c r="C1" s="20"/>
      <c r="D1" s="20"/>
      <c r="E1" s="20"/>
      <c r="F1" s="20"/>
      <c r="G1" s="20"/>
      <c r="H1" s="20"/>
      <c r="I1" s="20"/>
    </row>
    <row r="2" spans="1:10" x14ac:dyDescent="0.3">
      <c r="A2" s="20"/>
      <c r="B2" s="22" t="s">
        <v>6</v>
      </c>
      <c r="C2" s="22"/>
      <c r="D2" s="22"/>
      <c r="E2" s="20"/>
      <c r="F2" s="20"/>
      <c r="G2" s="20"/>
      <c r="H2" s="20"/>
      <c r="I2" s="20"/>
    </row>
    <row r="3" spans="1:10" x14ac:dyDescent="0.3">
      <c r="A3" s="20"/>
      <c r="B3" s="23"/>
      <c r="C3" s="23"/>
      <c r="D3" s="20"/>
      <c r="E3" s="20"/>
      <c r="F3" s="20"/>
      <c r="G3" s="20"/>
      <c r="H3" s="20"/>
      <c r="I3" s="20"/>
    </row>
    <row r="4" spans="1:10" ht="18" customHeight="1" x14ac:dyDescent="0.3">
      <c r="A4" s="20"/>
      <c r="B4" s="24" t="s">
        <v>7</v>
      </c>
      <c r="C4" s="25" t="s">
        <v>8</v>
      </c>
      <c r="D4" s="20"/>
      <c r="E4" s="20"/>
      <c r="F4" s="20"/>
      <c r="G4" s="20"/>
      <c r="H4" s="20"/>
      <c r="I4" s="20"/>
    </row>
    <row r="5" spans="1:10" x14ac:dyDescent="0.3">
      <c r="A5" s="26"/>
      <c r="B5" s="27" t="str">
        <f>IF(ISBLANK(Directions!C6), "Owner", Directions!C6)</f>
        <v>Owner</v>
      </c>
      <c r="C5" s="26" t="str">
        <f>IF(ISBLANK(Directions!D6), "Company 1", Directions!D6)</f>
        <v>Company 1</v>
      </c>
      <c r="D5" s="26"/>
      <c r="E5" s="26"/>
      <c r="F5" s="26"/>
      <c r="G5" s="26"/>
      <c r="H5" s="20"/>
    </row>
    <row r="6" spans="1:10" x14ac:dyDescent="0.3">
      <c r="A6" s="20"/>
      <c r="B6" s="20"/>
      <c r="C6" s="20"/>
      <c r="D6" s="28"/>
      <c r="E6" s="28"/>
      <c r="F6" s="28"/>
      <c r="G6" s="28"/>
      <c r="H6" s="20"/>
    </row>
    <row r="7" spans="1:10" ht="17.25" customHeight="1" thickBot="1" x14ac:dyDescent="0.35">
      <c r="A7" s="20"/>
      <c r="B7" s="29" t="s">
        <v>9</v>
      </c>
      <c r="C7" s="29" t="s">
        <v>10</v>
      </c>
      <c r="D7" s="29" t="s">
        <v>11</v>
      </c>
      <c r="E7" s="30" t="s">
        <v>12</v>
      </c>
      <c r="F7" s="30"/>
      <c r="G7" s="31"/>
      <c r="H7" s="20"/>
      <c r="I7" s="20"/>
      <c r="J7" s="20"/>
    </row>
    <row r="8" spans="1:10" ht="15.75" thickTop="1" x14ac:dyDescent="0.3">
      <c r="A8" s="20"/>
      <c r="B8" s="32"/>
      <c r="C8" s="33"/>
      <c r="D8" s="33"/>
      <c r="E8" s="34"/>
      <c r="F8" s="35"/>
      <c r="G8" s="36"/>
      <c r="H8" s="20"/>
      <c r="I8" s="20"/>
      <c r="J8" s="20"/>
    </row>
    <row r="9" spans="1:10" x14ac:dyDescent="0.3">
      <c r="A9" s="20"/>
      <c r="B9" s="37" t="s">
        <v>13</v>
      </c>
      <c r="C9" s="38"/>
      <c r="D9" s="39" t="s">
        <v>14</v>
      </c>
      <c r="E9" s="40"/>
      <c r="F9" s="41"/>
      <c r="G9" s="36"/>
      <c r="H9" s="20"/>
      <c r="I9" s="20"/>
      <c r="J9" s="20"/>
    </row>
    <row r="10" spans="1:10" x14ac:dyDescent="0.3">
      <c r="A10" s="20"/>
      <c r="B10" s="37" t="s">
        <v>15</v>
      </c>
      <c r="C10" s="42"/>
      <c r="D10" s="43">
        <v>20</v>
      </c>
      <c r="E10" s="44"/>
      <c r="F10" s="45"/>
      <c r="G10" s="46"/>
      <c r="H10" s="20"/>
      <c r="I10" s="20"/>
      <c r="J10" s="20"/>
    </row>
    <row r="11" spans="1:10" x14ac:dyDescent="0.3">
      <c r="A11" s="20"/>
      <c r="B11" s="37" t="s">
        <v>16</v>
      </c>
      <c r="C11" s="42"/>
      <c r="D11" s="43">
        <v>7</v>
      </c>
      <c r="E11" s="44"/>
      <c r="F11" s="45"/>
      <c r="G11" s="46"/>
      <c r="H11" s="20"/>
      <c r="I11" s="20"/>
      <c r="J11" s="20"/>
    </row>
    <row r="12" spans="1:10" x14ac:dyDescent="0.3">
      <c r="A12" s="20"/>
      <c r="B12" s="37" t="s">
        <v>17</v>
      </c>
      <c r="C12" s="42"/>
      <c r="D12" s="43">
        <v>7</v>
      </c>
      <c r="E12" s="44"/>
      <c r="F12" s="45"/>
      <c r="G12" s="46"/>
      <c r="H12" s="20"/>
      <c r="I12" s="20"/>
      <c r="J12" s="20"/>
    </row>
    <row r="13" spans="1:10" x14ac:dyDescent="0.3">
      <c r="A13" s="20"/>
      <c r="B13" s="37" t="s">
        <v>18</v>
      </c>
      <c r="C13" s="42"/>
      <c r="D13" s="43">
        <v>5</v>
      </c>
      <c r="E13" s="44"/>
      <c r="F13" s="45"/>
      <c r="G13" s="46"/>
      <c r="H13" s="20"/>
      <c r="I13" s="20"/>
      <c r="J13" s="20"/>
    </row>
    <row r="14" spans="1:10" x14ac:dyDescent="0.3">
      <c r="A14" s="20"/>
      <c r="B14" s="37" t="s">
        <v>19</v>
      </c>
      <c r="C14" s="42"/>
      <c r="D14" s="43">
        <v>5</v>
      </c>
      <c r="E14" s="44"/>
      <c r="F14" s="45"/>
      <c r="G14" s="46"/>
      <c r="H14" s="20"/>
      <c r="I14" s="20"/>
      <c r="J14" s="20"/>
    </row>
    <row r="15" spans="1:10" x14ac:dyDescent="0.3">
      <c r="A15" s="20"/>
      <c r="B15" s="37" t="s">
        <v>20</v>
      </c>
      <c r="C15" s="42"/>
      <c r="D15" s="43">
        <v>5</v>
      </c>
      <c r="E15" s="44"/>
      <c r="F15" s="45"/>
      <c r="G15" s="46"/>
      <c r="H15" s="20"/>
      <c r="I15" s="20"/>
      <c r="J15" s="20"/>
    </row>
    <row r="16" spans="1:10" x14ac:dyDescent="0.3">
      <c r="A16" s="20"/>
      <c r="B16" s="47" t="s">
        <v>21</v>
      </c>
      <c r="C16" s="48">
        <f>SUM(C9:C15)</f>
        <v>0</v>
      </c>
      <c r="D16" s="49"/>
      <c r="E16" s="50"/>
      <c r="F16" s="51"/>
      <c r="G16" s="52"/>
      <c r="H16" s="20"/>
      <c r="I16" s="20"/>
      <c r="J16" s="20"/>
    </row>
    <row r="17" spans="1:9" x14ac:dyDescent="0.3">
      <c r="A17" s="20"/>
      <c r="B17" s="53"/>
      <c r="C17" s="54"/>
      <c r="D17" s="54"/>
      <c r="E17" s="54"/>
      <c r="F17" s="55"/>
      <c r="G17" s="56"/>
      <c r="H17" s="20"/>
      <c r="I17" s="20"/>
    </row>
    <row r="18" spans="1:9" ht="15.75" thickBot="1" x14ac:dyDescent="0.35">
      <c r="A18" s="20"/>
      <c r="B18" s="57" t="s">
        <v>22</v>
      </c>
      <c r="C18" s="58" t="s">
        <v>10</v>
      </c>
      <c r="D18" s="59" t="s">
        <v>12</v>
      </c>
      <c r="E18" s="60"/>
      <c r="F18" s="61"/>
      <c r="G18" s="20"/>
      <c r="H18" s="20"/>
      <c r="I18" s="20"/>
    </row>
    <row r="19" spans="1:9" ht="15.75" thickTop="1" x14ac:dyDescent="0.3">
      <c r="A19" s="20"/>
      <c r="B19" s="62" t="s">
        <v>23</v>
      </c>
      <c r="C19" s="63"/>
      <c r="D19" s="64"/>
      <c r="E19" s="65"/>
      <c r="F19" s="66"/>
      <c r="G19" s="20"/>
      <c r="H19" s="20"/>
      <c r="I19" s="20"/>
    </row>
    <row r="20" spans="1:9" x14ac:dyDescent="0.3">
      <c r="A20" s="20"/>
      <c r="B20" s="47" t="s">
        <v>24</v>
      </c>
      <c r="C20" s="42"/>
      <c r="D20" s="67"/>
      <c r="E20" s="68"/>
      <c r="F20" s="69"/>
      <c r="G20" s="20"/>
      <c r="H20" s="20"/>
      <c r="I20" s="20"/>
    </row>
    <row r="21" spans="1:9" x14ac:dyDescent="0.3">
      <c r="A21" s="20"/>
      <c r="B21" s="47" t="s">
        <v>25</v>
      </c>
      <c r="C21" s="42"/>
      <c r="D21" s="67"/>
      <c r="E21" s="68"/>
      <c r="F21" s="69"/>
      <c r="G21" s="20"/>
      <c r="H21" s="20"/>
      <c r="I21" s="20"/>
    </row>
    <row r="22" spans="1:9" x14ac:dyDescent="0.3">
      <c r="A22" s="20"/>
      <c r="B22" s="47" t="s">
        <v>26</v>
      </c>
      <c r="C22" s="42"/>
      <c r="D22" s="67"/>
      <c r="E22" s="68"/>
      <c r="F22" s="69"/>
      <c r="G22" s="20"/>
      <c r="H22" s="20"/>
      <c r="I22" s="20"/>
    </row>
    <row r="23" spans="1:9" x14ac:dyDescent="0.3">
      <c r="A23" s="20"/>
      <c r="B23" s="47" t="s">
        <v>27</v>
      </c>
      <c r="C23" s="42"/>
      <c r="D23" s="67"/>
      <c r="E23" s="68"/>
      <c r="F23" s="69"/>
      <c r="G23" s="20"/>
      <c r="H23" s="20"/>
      <c r="I23" s="20"/>
    </row>
    <row r="24" spans="1:9" x14ac:dyDescent="0.3">
      <c r="A24" s="20"/>
      <c r="B24" s="47" t="s">
        <v>28</v>
      </c>
      <c r="C24" s="42"/>
      <c r="D24" s="67"/>
      <c r="E24" s="68"/>
      <c r="F24" s="69"/>
      <c r="G24" s="20"/>
      <c r="H24" s="20"/>
      <c r="I24" s="20"/>
    </row>
    <row r="25" spans="1:9" x14ac:dyDescent="0.3">
      <c r="A25" s="20"/>
      <c r="B25" s="47" t="s">
        <v>29</v>
      </c>
      <c r="C25" s="42"/>
      <c r="D25" s="67"/>
      <c r="E25" s="68"/>
      <c r="F25" s="69"/>
      <c r="G25" s="70"/>
      <c r="H25" s="20"/>
      <c r="I25" s="20"/>
    </row>
    <row r="26" spans="1:9" x14ac:dyDescent="0.3">
      <c r="A26" s="20"/>
      <c r="B26" s="47" t="s">
        <v>30</v>
      </c>
      <c r="C26" s="42"/>
      <c r="D26" s="67"/>
      <c r="E26" s="68"/>
      <c r="F26" s="69"/>
      <c r="G26" s="20"/>
      <c r="H26" s="20"/>
      <c r="I26" s="20"/>
    </row>
    <row r="27" spans="1:9" x14ac:dyDescent="0.3">
      <c r="A27" s="20"/>
      <c r="B27" s="47" t="s">
        <v>31</v>
      </c>
      <c r="C27" s="42"/>
      <c r="D27" s="67"/>
      <c r="E27" s="68"/>
      <c r="F27" s="69"/>
      <c r="G27" s="20"/>
      <c r="H27" s="20"/>
      <c r="I27" s="20"/>
    </row>
    <row r="28" spans="1:9" x14ac:dyDescent="0.3">
      <c r="A28" s="20"/>
      <c r="B28" s="47" t="s">
        <v>32</v>
      </c>
      <c r="C28" s="42"/>
      <c r="D28" s="67"/>
      <c r="E28" s="68"/>
      <c r="F28" s="69"/>
      <c r="G28" s="20"/>
      <c r="H28" s="20"/>
      <c r="I28" s="20"/>
    </row>
    <row r="29" spans="1:9" x14ac:dyDescent="0.3">
      <c r="A29" s="20"/>
      <c r="B29" s="71" t="s">
        <v>33</v>
      </c>
      <c r="C29" s="42"/>
      <c r="D29" s="67"/>
      <c r="E29" s="68"/>
      <c r="F29" s="69"/>
      <c r="G29" s="20"/>
      <c r="H29" s="20"/>
      <c r="I29" s="20"/>
    </row>
    <row r="30" spans="1:9" x14ac:dyDescent="0.3">
      <c r="A30" s="20"/>
      <c r="B30" s="47" t="s">
        <v>34</v>
      </c>
      <c r="C30" s="72">
        <f>SUM(C19:C29)</f>
        <v>0</v>
      </c>
      <c r="D30" s="67"/>
      <c r="E30" s="68"/>
      <c r="F30" s="69"/>
      <c r="G30" s="20"/>
      <c r="H30" s="20"/>
      <c r="I30" s="20"/>
    </row>
    <row r="31" spans="1:9" ht="15.75" thickBot="1" x14ac:dyDescent="0.35">
      <c r="A31" s="20"/>
      <c r="B31" s="47" t="s">
        <v>35</v>
      </c>
      <c r="C31" s="73">
        <f>C16+C30</f>
        <v>0</v>
      </c>
      <c r="D31" s="74"/>
      <c r="E31" s="75"/>
      <c r="F31" s="76"/>
      <c r="G31" s="20"/>
      <c r="H31" s="20"/>
      <c r="I31" s="20"/>
    </row>
    <row r="32" spans="1:9" x14ac:dyDescent="0.3">
      <c r="A32" s="20"/>
      <c r="B32" s="77"/>
      <c r="C32" s="78"/>
      <c r="D32" s="79"/>
      <c r="E32" s="79"/>
      <c r="F32" s="80"/>
      <c r="G32" s="81"/>
      <c r="H32" s="20"/>
      <c r="I32" s="20"/>
    </row>
    <row r="33" spans="1:12" ht="15.75" thickBot="1" x14ac:dyDescent="0.35">
      <c r="A33" s="20"/>
      <c r="B33" s="29" t="s">
        <v>36</v>
      </c>
      <c r="C33" s="29" t="s">
        <v>37</v>
      </c>
      <c r="D33" s="29" t="s">
        <v>38</v>
      </c>
      <c r="E33" s="29" t="s">
        <v>39</v>
      </c>
      <c r="F33" s="29" t="s">
        <v>40</v>
      </c>
      <c r="G33" s="29" t="s">
        <v>41</v>
      </c>
      <c r="H33" s="29" t="s">
        <v>12</v>
      </c>
    </row>
    <row r="34" spans="1:12" ht="15.75" thickTop="1" x14ac:dyDescent="0.3">
      <c r="A34" s="20"/>
      <c r="B34" s="82" t="s">
        <v>42</v>
      </c>
      <c r="C34" s="83">
        <f>IF($C$31=0,0,D34/$C$31)</f>
        <v>0</v>
      </c>
      <c r="D34" s="63"/>
      <c r="E34" s="33"/>
      <c r="F34" s="84"/>
      <c r="G34" s="33"/>
      <c r="H34" s="85"/>
    </row>
    <row r="35" spans="1:12" x14ac:dyDescent="0.3">
      <c r="A35" s="20"/>
      <c r="B35" s="86" t="s">
        <v>43</v>
      </c>
      <c r="C35" s="87">
        <f>IF($C$31=0,0,D35/$C$31)</f>
        <v>0</v>
      </c>
      <c r="D35" s="42"/>
      <c r="E35" s="88"/>
      <c r="F35" s="88"/>
      <c r="G35" s="88"/>
      <c r="H35" s="89"/>
    </row>
    <row r="36" spans="1:12" x14ac:dyDescent="0.3">
      <c r="A36" s="20"/>
      <c r="B36" s="86" t="s">
        <v>44</v>
      </c>
      <c r="C36" s="87"/>
      <c r="D36" s="88"/>
      <c r="E36" s="88"/>
      <c r="F36" s="88"/>
      <c r="G36" s="88"/>
      <c r="H36" s="89"/>
    </row>
    <row r="37" spans="1:12" x14ac:dyDescent="0.3">
      <c r="A37" s="20"/>
      <c r="B37" s="90" t="s">
        <v>45</v>
      </c>
      <c r="C37" s="87">
        <f t="shared" ref="C37:C42" si="0">IF($C$31=0,0,D37/$C$31)</f>
        <v>0</v>
      </c>
      <c r="D37" s="42"/>
      <c r="E37" s="91">
        <v>0.09</v>
      </c>
      <c r="F37" s="92">
        <v>84</v>
      </c>
      <c r="G37" s="93">
        <f>PMT(E37/12,F37,-D37)</f>
        <v>0</v>
      </c>
      <c r="H37" s="89"/>
    </row>
    <row r="38" spans="1:12" x14ac:dyDescent="0.3">
      <c r="A38" s="20"/>
      <c r="B38" s="90" t="s">
        <v>46</v>
      </c>
      <c r="C38" s="87">
        <f t="shared" si="0"/>
        <v>0</v>
      </c>
      <c r="D38" s="42"/>
      <c r="E38" s="91">
        <v>0.09</v>
      </c>
      <c r="F38" s="92">
        <v>240</v>
      </c>
      <c r="G38" s="93">
        <f>PMT(E38/12,F38,-D38)</f>
        <v>0</v>
      </c>
      <c r="H38" s="89"/>
      <c r="J38" s="94" t="s">
        <v>47</v>
      </c>
      <c r="K38" s="94"/>
      <c r="L38" s="94"/>
    </row>
    <row r="39" spans="1:12" x14ac:dyDescent="0.3">
      <c r="A39" s="20"/>
      <c r="B39" s="90" t="s">
        <v>48</v>
      </c>
      <c r="C39" s="87">
        <f t="shared" si="0"/>
        <v>0</v>
      </c>
      <c r="D39" s="42"/>
      <c r="E39" s="91">
        <v>7.0000000000000007E-2</v>
      </c>
      <c r="F39" s="92">
        <v>60</v>
      </c>
      <c r="G39" s="93">
        <f>PMT(E39/12,F39,-D39)</f>
        <v>0</v>
      </c>
      <c r="H39" s="89"/>
      <c r="J39" s="94"/>
      <c r="K39" s="94"/>
      <c r="L39" s="94"/>
    </row>
    <row r="40" spans="1:12" x14ac:dyDescent="0.3">
      <c r="A40" s="20"/>
      <c r="B40" s="90" t="s">
        <v>49</v>
      </c>
      <c r="C40" s="87">
        <f t="shared" si="0"/>
        <v>0</v>
      </c>
      <c r="D40" s="42"/>
      <c r="E40" s="91">
        <v>0.06</v>
      </c>
      <c r="F40" s="92">
        <v>48</v>
      </c>
      <c r="G40" s="93">
        <f>PMT(E40/12,F40,-D40)</f>
        <v>0</v>
      </c>
      <c r="H40" s="89"/>
      <c r="J40" s="94"/>
      <c r="K40" s="94"/>
      <c r="L40" s="94"/>
    </row>
    <row r="41" spans="1:12" x14ac:dyDescent="0.3">
      <c r="A41" s="20"/>
      <c r="B41" s="90" t="s">
        <v>50</v>
      </c>
      <c r="C41" s="87">
        <f t="shared" si="0"/>
        <v>0</v>
      </c>
      <c r="D41" s="42"/>
      <c r="E41" s="91">
        <v>0.05</v>
      </c>
      <c r="F41" s="92">
        <v>36</v>
      </c>
      <c r="G41" s="93">
        <f>PMT(E41/12,F41,-D41)</f>
        <v>0</v>
      </c>
      <c r="H41" s="95"/>
      <c r="J41" s="94"/>
      <c r="K41" s="94"/>
      <c r="L41" s="94"/>
    </row>
    <row r="42" spans="1:12" x14ac:dyDescent="0.3">
      <c r="A42" s="20"/>
      <c r="B42" s="47" t="s">
        <v>51</v>
      </c>
      <c r="C42" s="96">
        <f t="shared" si="0"/>
        <v>0</v>
      </c>
      <c r="D42" s="97">
        <f>SUM(D34:D41)</f>
        <v>0</v>
      </c>
      <c r="E42" s="98" t="s">
        <v>52</v>
      </c>
      <c r="F42" s="99"/>
      <c r="G42" s="100">
        <f>SUM(G37:G41)</f>
        <v>0</v>
      </c>
      <c r="H42" s="101"/>
    </row>
    <row r="43" spans="1:12" x14ac:dyDescent="0.3">
      <c r="A43" s="20"/>
      <c r="B43" s="47" t="s">
        <v>53</v>
      </c>
      <c r="C43" s="47"/>
      <c r="D43" s="97">
        <f>C31-D42</f>
        <v>0</v>
      </c>
      <c r="E43" s="102" t="str">
        <f>IF(D43&gt;0,"You require more funding (Not Balanced)",IF(D43&lt;0,"Your funding exceeds your needs (Not Balanced)","You are fully funded (Balanced)"))</f>
        <v>You are fully funded (Balanced)</v>
      </c>
      <c r="F43" s="103"/>
      <c r="G43" s="104"/>
      <c r="H43" s="105"/>
    </row>
    <row r="44" spans="1:12" x14ac:dyDescent="0.3">
      <c r="A44" s="20"/>
      <c r="B44" s="106" t="s">
        <v>54</v>
      </c>
      <c r="C44" s="107"/>
      <c r="D44" s="107"/>
      <c r="E44" s="107"/>
      <c r="F44" s="107"/>
      <c r="G44" s="107"/>
      <c r="H44" s="20"/>
    </row>
    <row r="45" spans="1:12" x14ac:dyDescent="0.3">
      <c r="A45" s="20"/>
      <c r="B45" s="28"/>
      <c r="C45" s="107"/>
      <c r="D45" s="28"/>
      <c r="E45" s="28"/>
      <c r="F45" s="28"/>
      <c r="G45" s="20"/>
      <c r="H45" s="20"/>
    </row>
    <row r="46" spans="1:12" ht="15.75" thickBot="1" x14ac:dyDescent="0.35">
      <c r="B46" s="108" t="s">
        <v>55</v>
      </c>
      <c r="C46" s="108"/>
      <c r="D46" s="109"/>
      <c r="E46" s="109"/>
      <c r="F46" s="109"/>
      <c r="G46" s="109"/>
    </row>
    <row r="47" spans="1:12" ht="15.75" thickTop="1" x14ac:dyDescent="0.3">
      <c r="B47" s="110" t="s">
        <v>56</v>
      </c>
      <c r="C47" s="111">
        <v>0</v>
      </c>
      <c r="D47" s="109"/>
      <c r="E47" s="112"/>
      <c r="F47" s="109"/>
      <c r="G47" s="113"/>
    </row>
    <row r="48" spans="1:12" x14ac:dyDescent="0.3">
      <c r="B48" s="114" t="s">
        <v>57</v>
      </c>
      <c r="C48" s="115">
        <v>0</v>
      </c>
      <c r="D48" s="109"/>
      <c r="E48" s="112"/>
      <c r="F48" s="109"/>
      <c r="G48" s="113"/>
    </row>
    <row r="49" spans="2:7" x14ac:dyDescent="0.3">
      <c r="B49" s="114" t="s">
        <v>58</v>
      </c>
      <c r="C49" s="115">
        <v>0</v>
      </c>
      <c r="D49" s="109"/>
      <c r="E49" s="109"/>
      <c r="F49" s="109"/>
      <c r="G49" s="109"/>
    </row>
    <row r="50" spans="2:7" x14ac:dyDescent="0.3">
      <c r="B50" s="114" t="s">
        <v>59</v>
      </c>
      <c r="C50" s="115">
        <v>0</v>
      </c>
      <c r="D50" s="109"/>
      <c r="E50" s="109"/>
      <c r="F50" s="109"/>
      <c r="G50" s="109"/>
    </row>
    <row r="51" spans="2:7" x14ac:dyDescent="0.3">
      <c r="B51" s="114" t="s">
        <v>60</v>
      </c>
      <c r="C51" s="115">
        <v>0</v>
      </c>
    </row>
    <row r="52" spans="2:7" x14ac:dyDescent="0.3">
      <c r="B52" s="47" t="s">
        <v>61</v>
      </c>
      <c r="C52" s="97">
        <f>(C47+C48+C49-C50-C51)</f>
        <v>0</v>
      </c>
      <c r="D52" s="116"/>
    </row>
    <row r="53" spans="2:7" x14ac:dyDescent="0.3">
      <c r="D53" s="116"/>
    </row>
  </sheetData>
  <sheetProtection formatColumns="0" formatRows="0"/>
  <mergeCells count="30">
    <mergeCell ref="D30:F30"/>
    <mergeCell ref="D31:F31"/>
    <mergeCell ref="J38:L41"/>
    <mergeCell ref="E42:F42"/>
    <mergeCell ref="E43:G43"/>
    <mergeCell ref="B46:C46"/>
    <mergeCell ref="D24:F24"/>
    <mergeCell ref="D25:F25"/>
    <mergeCell ref="D26:F26"/>
    <mergeCell ref="D27:F27"/>
    <mergeCell ref="D28:F28"/>
    <mergeCell ref="D29:F29"/>
    <mergeCell ref="D18:F18"/>
    <mergeCell ref="D19:F19"/>
    <mergeCell ref="D20:F20"/>
    <mergeCell ref="D21:F21"/>
    <mergeCell ref="D22:F22"/>
    <mergeCell ref="D23:F23"/>
    <mergeCell ref="E12:F12"/>
    <mergeCell ref="E13:F13"/>
    <mergeCell ref="E14:F14"/>
    <mergeCell ref="E15:F15"/>
    <mergeCell ref="E16:F16"/>
    <mergeCell ref="B17:F17"/>
    <mergeCell ref="B2:D2"/>
    <mergeCell ref="E7:F7"/>
    <mergeCell ref="E8:F8"/>
    <mergeCell ref="E9:F9"/>
    <mergeCell ref="E10:F10"/>
    <mergeCell ref="E11:F11"/>
  </mergeCells>
  <conditionalFormatting sqref="C9:C15 C19:C29 D34:D35 D37:D41">
    <cfRule type="containsBlanks" dxfId="74" priority="5" stopIfTrue="1">
      <formula>LEN(TRIM(C9))=0</formula>
    </cfRule>
  </conditionalFormatting>
  <conditionalFormatting sqref="D43">
    <cfRule type="cellIs" dxfId="73" priority="4" operator="greaterThan">
      <formula>0</formula>
    </cfRule>
  </conditionalFormatting>
  <conditionalFormatting sqref="E43:G43">
    <cfRule type="containsText" dxfId="72" priority="2" operator="containsText" text="fully">
      <formula>NOT(ISERROR(SEARCH("fully",E43)))</formula>
    </cfRule>
    <cfRule type="containsText" dxfId="71" priority="3" operator="containsText" text="require">
      <formula>NOT(ISERROR(SEARCH("require",E43)))</formula>
    </cfRule>
  </conditionalFormatting>
  <conditionalFormatting sqref="D10:D15">
    <cfRule type="cellIs" dxfId="70" priority="1" operator="lessThan">
      <formula>3</formula>
    </cfRule>
  </conditionalFormatting>
  <hyperlinks>
    <hyperlink ref="J38:L41" location="'Amortization&amp;Depreciation'!A1" display="See Loan Amortization &amp; Depreciation Schedule"/>
  </hyperlinks>
  <printOptions horizontalCentered="1" verticalCentered="1"/>
  <pageMargins left="0.7" right="0.7" top="0.75" bottom="0.75" header="0.3" footer="0.3"/>
  <pageSetup scale="59" orientation="landscape" r:id="rId1"/>
  <headerFooter scaleWithDoc="0">
    <oddHeader>&amp;C&amp;"Gill Sans MT,Regular"&amp;12Start-Up Expenses Year 1
(Starting Balance Sheet)</oddHeader>
    <oddFooter>&amp;L&amp;"Gill Sans MT,Regular"&amp;12&amp;F&amp;C&amp;"Gill Sans MT,Regular"&amp;12&amp;A&amp;R&amp;"Gill Sans MT,Regular"&amp;12&amp;D &amp;T</oddFoot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J32" sqref="J32"/>
    </sheetView>
  </sheetViews>
  <sheetFormatPr defaultColWidth="9.125" defaultRowHeight="15" x14ac:dyDescent="0.25"/>
  <cols>
    <col min="1" max="1" width="16.625" bestFit="1" customWidth="1"/>
    <col min="2" max="2" width="14.375" bestFit="1" customWidth="1"/>
    <col min="3" max="3" width="43.75" customWidth="1"/>
    <col min="257" max="257" width="16.625" bestFit="1" customWidth="1"/>
    <col min="258" max="258" width="14.375" bestFit="1" customWidth="1"/>
    <col min="259" max="259" width="43.75" customWidth="1"/>
    <col min="513" max="513" width="16.625" bestFit="1" customWidth="1"/>
    <col min="514" max="514" width="14.375" bestFit="1" customWidth="1"/>
    <col min="515" max="515" width="43.75" customWidth="1"/>
    <col min="769" max="769" width="16.625" bestFit="1" customWidth="1"/>
    <col min="770" max="770" width="14.375" bestFit="1" customWidth="1"/>
    <col min="771" max="771" width="43.75" customWidth="1"/>
    <col min="1025" max="1025" width="16.625" bestFit="1" customWidth="1"/>
    <col min="1026" max="1026" width="14.375" bestFit="1" customWidth="1"/>
    <col min="1027" max="1027" width="43.75" customWidth="1"/>
    <col min="1281" max="1281" width="16.625" bestFit="1" customWidth="1"/>
    <col min="1282" max="1282" width="14.375" bestFit="1" customWidth="1"/>
    <col min="1283" max="1283" width="43.75" customWidth="1"/>
    <col min="1537" max="1537" width="16.625" bestFit="1" customWidth="1"/>
    <col min="1538" max="1538" width="14.375" bestFit="1" customWidth="1"/>
    <col min="1539" max="1539" width="43.75" customWidth="1"/>
    <col min="1793" max="1793" width="16.625" bestFit="1" customWidth="1"/>
    <col min="1794" max="1794" width="14.375" bestFit="1" customWidth="1"/>
    <col min="1795" max="1795" width="43.75" customWidth="1"/>
    <col min="2049" max="2049" width="16.625" bestFit="1" customWidth="1"/>
    <col min="2050" max="2050" width="14.375" bestFit="1" customWidth="1"/>
    <col min="2051" max="2051" width="43.75" customWidth="1"/>
    <col min="2305" max="2305" width="16.625" bestFit="1" customWidth="1"/>
    <col min="2306" max="2306" width="14.375" bestFit="1" customWidth="1"/>
    <col min="2307" max="2307" width="43.75" customWidth="1"/>
    <col min="2561" max="2561" width="16.625" bestFit="1" customWidth="1"/>
    <col min="2562" max="2562" width="14.375" bestFit="1" customWidth="1"/>
    <col min="2563" max="2563" width="43.75" customWidth="1"/>
    <col min="2817" max="2817" width="16.625" bestFit="1" customWidth="1"/>
    <col min="2818" max="2818" width="14.375" bestFit="1" customWidth="1"/>
    <col min="2819" max="2819" width="43.75" customWidth="1"/>
    <col min="3073" max="3073" width="16.625" bestFit="1" customWidth="1"/>
    <col min="3074" max="3074" width="14.375" bestFit="1" customWidth="1"/>
    <col min="3075" max="3075" width="43.75" customWidth="1"/>
    <col min="3329" max="3329" width="16.625" bestFit="1" customWidth="1"/>
    <col min="3330" max="3330" width="14.375" bestFit="1" customWidth="1"/>
    <col min="3331" max="3331" width="43.75" customWidth="1"/>
    <col min="3585" max="3585" width="16.625" bestFit="1" customWidth="1"/>
    <col min="3586" max="3586" width="14.375" bestFit="1" customWidth="1"/>
    <col min="3587" max="3587" width="43.75" customWidth="1"/>
    <col min="3841" max="3841" width="16.625" bestFit="1" customWidth="1"/>
    <col min="3842" max="3842" width="14.375" bestFit="1" customWidth="1"/>
    <col min="3843" max="3843" width="43.75" customWidth="1"/>
    <col min="4097" max="4097" width="16.625" bestFit="1" customWidth="1"/>
    <col min="4098" max="4098" width="14.375" bestFit="1" customWidth="1"/>
    <col min="4099" max="4099" width="43.75" customWidth="1"/>
    <col min="4353" max="4353" width="16.625" bestFit="1" customWidth="1"/>
    <col min="4354" max="4354" width="14.375" bestFit="1" customWidth="1"/>
    <col min="4355" max="4355" width="43.75" customWidth="1"/>
    <col min="4609" max="4609" width="16.625" bestFit="1" customWidth="1"/>
    <col min="4610" max="4610" width="14.375" bestFit="1" customWidth="1"/>
    <col min="4611" max="4611" width="43.75" customWidth="1"/>
    <col min="4865" max="4865" width="16.625" bestFit="1" customWidth="1"/>
    <col min="4866" max="4866" width="14.375" bestFit="1" customWidth="1"/>
    <col min="4867" max="4867" width="43.75" customWidth="1"/>
    <col min="5121" max="5121" width="16.625" bestFit="1" customWidth="1"/>
    <col min="5122" max="5122" width="14.375" bestFit="1" customWidth="1"/>
    <col min="5123" max="5123" width="43.75" customWidth="1"/>
    <col min="5377" max="5377" width="16.625" bestFit="1" customWidth="1"/>
    <col min="5378" max="5378" width="14.375" bestFit="1" customWidth="1"/>
    <col min="5379" max="5379" width="43.75" customWidth="1"/>
    <col min="5633" max="5633" width="16.625" bestFit="1" customWidth="1"/>
    <col min="5634" max="5634" width="14.375" bestFit="1" customWidth="1"/>
    <col min="5635" max="5635" width="43.75" customWidth="1"/>
    <col min="5889" max="5889" width="16.625" bestFit="1" customWidth="1"/>
    <col min="5890" max="5890" width="14.375" bestFit="1" customWidth="1"/>
    <col min="5891" max="5891" width="43.75" customWidth="1"/>
    <col min="6145" max="6145" width="16.625" bestFit="1" customWidth="1"/>
    <col min="6146" max="6146" width="14.375" bestFit="1" customWidth="1"/>
    <col min="6147" max="6147" width="43.75" customWidth="1"/>
    <col min="6401" max="6401" width="16.625" bestFit="1" customWidth="1"/>
    <col min="6402" max="6402" width="14.375" bestFit="1" customWidth="1"/>
    <col min="6403" max="6403" width="43.75" customWidth="1"/>
    <col min="6657" max="6657" width="16.625" bestFit="1" customWidth="1"/>
    <col min="6658" max="6658" width="14.375" bestFit="1" customWidth="1"/>
    <col min="6659" max="6659" width="43.75" customWidth="1"/>
    <col min="6913" max="6913" width="16.625" bestFit="1" customWidth="1"/>
    <col min="6914" max="6914" width="14.375" bestFit="1" customWidth="1"/>
    <col min="6915" max="6915" width="43.75" customWidth="1"/>
    <col min="7169" max="7169" width="16.625" bestFit="1" customWidth="1"/>
    <col min="7170" max="7170" width="14.375" bestFit="1" customWidth="1"/>
    <col min="7171" max="7171" width="43.75" customWidth="1"/>
    <col min="7425" max="7425" width="16.625" bestFit="1" customWidth="1"/>
    <col min="7426" max="7426" width="14.375" bestFit="1" customWidth="1"/>
    <col min="7427" max="7427" width="43.75" customWidth="1"/>
    <col min="7681" max="7681" width="16.625" bestFit="1" customWidth="1"/>
    <col min="7682" max="7682" width="14.375" bestFit="1" customWidth="1"/>
    <col min="7683" max="7683" width="43.75" customWidth="1"/>
    <col min="7937" max="7937" width="16.625" bestFit="1" customWidth="1"/>
    <col min="7938" max="7938" width="14.375" bestFit="1" customWidth="1"/>
    <col min="7939" max="7939" width="43.75" customWidth="1"/>
    <col min="8193" max="8193" width="16.625" bestFit="1" customWidth="1"/>
    <col min="8194" max="8194" width="14.375" bestFit="1" customWidth="1"/>
    <col min="8195" max="8195" width="43.75" customWidth="1"/>
    <col min="8449" max="8449" width="16.625" bestFit="1" customWidth="1"/>
    <col min="8450" max="8450" width="14.375" bestFit="1" customWidth="1"/>
    <col min="8451" max="8451" width="43.75" customWidth="1"/>
    <col min="8705" max="8705" width="16.625" bestFit="1" customWidth="1"/>
    <col min="8706" max="8706" width="14.375" bestFit="1" customWidth="1"/>
    <col min="8707" max="8707" width="43.75" customWidth="1"/>
    <col min="8961" max="8961" width="16.625" bestFit="1" customWidth="1"/>
    <col min="8962" max="8962" width="14.375" bestFit="1" customWidth="1"/>
    <col min="8963" max="8963" width="43.75" customWidth="1"/>
    <col min="9217" max="9217" width="16.625" bestFit="1" customWidth="1"/>
    <col min="9218" max="9218" width="14.375" bestFit="1" customWidth="1"/>
    <col min="9219" max="9219" width="43.75" customWidth="1"/>
    <col min="9473" max="9473" width="16.625" bestFit="1" customWidth="1"/>
    <col min="9474" max="9474" width="14.375" bestFit="1" customWidth="1"/>
    <col min="9475" max="9475" width="43.75" customWidth="1"/>
    <col min="9729" max="9729" width="16.625" bestFit="1" customWidth="1"/>
    <col min="9730" max="9730" width="14.375" bestFit="1" customWidth="1"/>
    <col min="9731" max="9731" width="43.75" customWidth="1"/>
    <col min="9985" max="9985" width="16.625" bestFit="1" customWidth="1"/>
    <col min="9986" max="9986" width="14.375" bestFit="1" customWidth="1"/>
    <col min="9987" max="9987" width="43.75" customWidth="1"/>
    <col min="10241" max="10241" width="16.625" bestFit="1" customWidth="1"/>
    <col min="10242" max="10242" width="14.375" bestFit="1" customWidth="1"/>
    <col min="10243" max="10243" width="43.75" customWidth="1"/>
    <col min="10497" max="10497" width="16.625" bestFit="1" customWidth="1"/>
    <col min="10498" max="10498" width="14.375" bestFit="1" customWidth="1"/>
    <col min="10499" max="10499" width="43.75" customWidth="1"/>
    <col min="10753" max="10753" width="16.625" bestFit="1" customWidth="1"/>
    <col min="10754" max="10754" width="14.375" bestFit="1" customWidth="1"/>
    <col min="10755" max="10755" width="43.75" customWidth="1"/>
    <col min="11009" max="11009" width="16.625" bestFit="1" customWidth="1"/>
    <col min="11010" max="11010" width="14.375" bestFit="1" customWidth="1"/>
    <col min="11011" max="11011" width="43.75" customWidth="1"/>
    <col min="11265" max="11265" width="16.625" bestFit="1" customWidth="1"/>
    <col min="11266" max="11266" width="14.375" bestFit="1" customWidth="1"/>
    <col min="11267" max="11267" width="43.75" customWidth="1"/>
    <col min="11521" max="11521" width="16.625" bestFit="1" customWidth="1"/>
    <col min="11522" max="11522" width="14.375" bestFit="1" customWidth="1"/>
    <col min="11523" max="11523" width="43.75" customWidth="1"/>
    <col min="11777" max="11777" width="16.625" bestFit="1" customWidth="1"/>
    <col min="11778" max="11778" width="14.375" bestFit="1" customWidth="1"/>
    <col min="11779" max="11779" width="43.75" customWidth="1"/>
    <col min="12033" max="12033" width="16.625" bestFit="1" customWidth="1"/>
    <col min="12034" max="12034" width="14.375" bestFit="1" customWidth="1"/>
    <col min="12035" max="12035" width="43.75" customWidth="1"/>
    <col min="12289" max="12289" width="16.625" bestFit="1" customWidth="1"/>
    <col min="12290" max="12290" width="14.375" bestFit="1" customWidth="1"/>
    <col min="12291" max="12291" width="43.75" customWidth="1"/>
    <col min="12545" max="12545" width="16.625" bestFit="1" customWidth="1"/>
    <col min="12546" max="12546" width="14.375" bestFit="1" customWidth="1"/>
    <col min="12547" max="12547" width="43.75" customWidth="1"/>
    <col min="12801" max="12801" width="16.625" bestFit="1" customWidth="1"/>
    <col min="12802" max="12802" width="14.375" bestFit="1" customWidth="1"/>
    <col min="12803" max="12803" width="43.75" customWidth="1"/>
    <col min="13057" max="13057" width="16.625" bestFit="1" customWidth="1"/>
    <col min="13058" max="13058" width="14.375" bestFit="1" customWidth="1"/>
    <col min="13059" max="13059" width="43.75" customWidth="1"/>
    <col min="13313" max="13313" width="16.625" bestFit="1" customWidth="1"/>
    <col min="13314" max="13314" width="14.375" bestFit="1" customWidth="1"/>
    <col min="13315" max="13315" width="43.75" customWidth="1"/>
    <col min="13569" max="13569" width="16.625" bestFit="1" customWidth="1"/>
    <col min="13570" max="13570" width="14.375" bestFit="1" customWidth="1"/>
    <col min="13571" max="13571" width="43.75" customWidth="1"/>
    <col min="13825" max="13825" width="16.625" bestFit="1" customWidth="1"/>
    <col min="13826" max="13826" width="14.375" bestFit="1" customWidth="1"/>
    <col min="13827" max="13827" width="43.75" customWidth="1"/>
    <col min="14081" max="14081" width="16.625" bestFit="1" customWidth="1"/>
    <col min="14082" max="14082" width="14.375" bestFit="1" customWidth="1"/>
    <col min="14083" max="14083" width="43.75" customWidth="1"/>
    <col min="14337" max="14337" width="16.625" bestFit="1" customWidth="1"/>
    <col min="14338" max="14338" width="14.375" bestFit="1" customWidth="1"/>
    <col min="14339" max="14339" width="43.75" customWidth="1"/>
    <col min="14593" max="14593" width="16.625" bestFit="1" customWidth="1"/>
    <col min="14594" max="14594" width="14.375" bestFit="1" customWidth="1"/>
    <col min="14595" max="14595" width="43.75" customWidth="1"/>
    <col min="14849" max="14849" width="16.625" bestFit="1" customWidth="1"/>
    <col min="14850" max="14850" width="14.375" bestFit="1" customWidth="1"/>
    <col min="14851" max="14851" width="43.75" customWidth="1"/>
    <col min="15105" max="15105" width="16.625" bestFit="1" customWidth="1"/>
    <col min="15106" max="15106" width="14.375" bestFit="1" customWidth="1"/>
    <col min="15107" max="15107" width="43.75" customWidth="1"/>
    <col min="15361" max="15361" width="16.625" bestFit="1" customWidth="1"/>
    <col min="15362" max="15362" width="14.375" bestFit="1" customWidth="1"/>
    <col min="15363" max="15363" width="43.75" customWidth="1"/>
    <col min="15617" max="15617" width="16.625" bestFit="1" customWidth="1"/>
    <col min="15618" max="15618" width="14.375" bestFit="1" customWidth="1"/>
    <col min="15619" max="15619" width="43.75" customWidth="1"/>
    <col min="15873" max="15873" width="16.625" bestFit="1" customWidth="1"/>
    <col min="15874" max="15874" width="14.375" bestFit="1" customWidth="1"/>
    <col min="15875" max="15875" width="43.75" customWidth="1"/>
    <col min="16129" max="16129" width="16.625" bestFit="1" customWidth="1"/>
    <col min="16130" max="16130" width="14.375" bestFit="1" customWidth="1"/>
    <col min="16131" max="16131" width="43.75" customWidth="1"/>
  </cols>
  <sheetData>
    <row r="1" spans="1:3" x14ac:dyDescent="0.25">
      <c r="A1" s="629" t="s">
        <v>358</v>
      </c>
      <c r="B1" s="629" t="s">
        <v>359</v>
      </c>
      <c r="C1" s="629" t="s">
        <v>12</v>
      </c>
    </row>
    <row r="2" spans="1:3" ht="60" x14ac:dyDescent="0.25">
      <c r="A2" s="630">
        <v>41446</v>
      </c>
      <c r="B2" t="s">
        <v>360</v>
      </c>
      <c r="C2" s="631" t="s">
        <v>361</v>
      </c>
    </row>
    <row r="3" spans="1:3" ht="75" x14ac:dyDescent="0.25">
      <c r="A3" s="630">
        <v>41469</v>
      </c>
      <c r="B3" t="s">
        <v>360</v>
      </c>
      <c r="C3" s="631" t="s">
        <v>362</v>
      </c>
    </row>
    <row r="4" spans="1:3" ht="109.5" customHeight="1" x14ac:dyDescent="0.25">
      <c r="A4" s="630">
        <v>41752</v>
      </c>
      <c r="B4" t="s">
        <v>360</v>
      </c>
      <c r="C4" s="631" t="s">
        <v>363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R32"/>
  <sheetViews>
    <sheetView topLeftCell="C1" zoomScaleNormal="100" zoomScalePageLayoutView="50" workbookViewId="0">
      <selection activeCell="J32" sqref="J32"/>
    </sheetView>
  </sheetViews>
  <sheetFormatPr defaultColWidth="9.125" defaultRowHeight="15.75" x14ac:dyDescent="0.35"/>
  <cols>
    <col min="1" max="1" width="30.25" style="120" bestFit="1" customWidth="1"/>
    <col min="2" max="2" width="16.125" style="120" bestFit="1" customWidth="1"/>
    <col min="3" max="3" width="14.25" style="120" customWidth="1"/>
    <col min="4" max="4" width="12.25" style="120" customWidth="1"/>
    <col min="5" max="5" width="16" style="120" customWidth="1"/>
    <col min="6" max="6" width="9.75" style="120" customWidth="1"/>
    <col min="7" max="7" width="8" style="120" bestFit="1" customWidth="1"/>
    <col min="8" max="14" width="9.75" style="120" customWidth="1"/>
    <col min="15" max="17" width="10.25" style="120" bestFit="1" customWidth="1"/>
    <col min="18" max="18" width="12.125" style="120" bestFit="1" customWidth="1"/>
    <col min="19" max="256" width="9.125" style="120"/>
    <col min="257" max="257" width="30.25" style="120" bestFit="1" customWidth="1"/>
    <col min="258" max="258" width="16.125" style="120" bestFit="1" customWidth="1"/>
    <col min="259" max="259" width="14.25" style="120" customWidth="1"/>
    <col min="260" max="260" width="12.25" style="120" customWidth="1"/>
    <col min="261" max="261" width="16" style="120" customWidth="1"/>
    <col min="262" max="262" width="9.75" style="120" customWidth="1"/>
    <col min="263" max="263" width="8" style="120" bestFit="1" customWidth="1"/>
    <col min="264" max="270" width="9.75" style="120" customWidth="1"/>
    <col min="271" max="273" width="10.25" style="120" bestFit="1" customWidth="1"/>
    <col min="274" max="274" width="12.125" style="120" bestFit="1" customWidth="1"/>
    <col min="275" max="512" width="9.125" style="120"/>
    <col min="513" max="513" width="30.25" style="120" bestFit="1" customWidth="1"/>
    <col min="514" max="514" width="16.125" style="120" bestFit="1" customWidth="1"/>
    <col min="515" max="515" width="14.25" style="120" customWidth="1"/>
    <col min="516" max="516" width="12.25" style="120" customWidth="1"/>
    <col min="517" max="517" width="16" style="120" customWidth="1"/>
    <col min="518" max="518" width="9.75" style="120" customWidth="1"/>
    <col min="519" max="519" width="8" style="120" bestFit="1" customWidth="1"/>
    <col min="520" max="526" width="9.75" style="120" customWidth="1"/>
    <col min="527" max="529" width="10.25" style="120" bestFit="1" customWidth="1"/>
    <col min="530" max="530" width="12.125" style="120" bestFit="1" customWidth="1"/>
    <col min="531" max="768" width="9.125" style="120"/>
    <col min="769" max="769" width="30.25" style="120" bestFit="1" customWidth="1"/>
    <col min="770" max="770" width="16.125" style="120" bestFit="1" customWidth="1"/>
    <col min="771" max="771" width="14.25" style="120" customWidth="1"/>
    <col min="772" max="772" width="12.25" style="120" customWidth="1"/>
    <col min="773" max="773" width="16" style="120" customWidth="1"/>
    <col min="774" max="774" width="9.75" style="120" customWidth="1"/>
    <col min="775" max="775" width="8" style="120" bestFit="1" customWidth="1"/>
    <col min="776" max="782" width="9.75" style="120" customWidth="1"/>
    <col min="783" max="785" width="10.25" style="120" bestFit="1" customWidth="1"/>
    <col min="786" max="786" width="12.125" style="120" bestFit="1" customWidth="1"/>
    <col min="787" max="1024" width="9.125" style="120"/>
    <col min="1025" max="1025" width="30.25" style="120" bestFit="1" customWidth="1"/>
    <col min="1026" max="1026" width="16.125" style="120" bestFit="1" customWidth="1"/>
    <col min="1027" max="1027" width="14.25" style="120" customWidth="1"/>
    <col min="1028" max="1028" width="12.25" style="120" customWidth="1"/>
    <col min="1029" max="1029" width="16" style="120" customWidth="1"/>
    <col min="1030" max="1030" width="9.75" style="120" customWidth="1"/>
    <col min="1031" max="1031" width="8" style="120" bestFit="1" customWidth="1"/>
    <col min="1032" max="1038" width="9.75" style="120" customWidth="1"/>
    <col min="1039" max="1041" width="10.25" style="120" bestFit="1" customWidth="1"/>
    <col min="1042" max="1042" width="12.125" style="120" bestFit="1" customWidth="1"/>
    <col min="1043" max="1280" width="9.125" style="120"/>
    <col min="1281" max="1281" width="30.25" style="120" bestFit="1" customWidth="1"/>
    <col min="1282" max="1282" width="16.125" style="120" bestFit="1" customWidth="1"/>
    <col min="1283" max="1283" width="14.25" style="120" customWidth="1"/>
    <col min="1284" max="1284" width="12.25" style="120" customWidth="1"/>
    <col min="1285" max="1285" width="16" style="120" customWidth="1"/>
    <col min="1286" max="1286" width="9.75" style="120" customWidth="1"/>
    <col min="1287" max="1287" width="8" style="120" bestFit="1" customWidth="1"/>
    <col min="1288" max="1294" width="9.75" style="120" customWidth="1"/>
    <col min="1295" max="1297" width="10.25" style="120" bestFit="1" customWidth="1"/>
    <col min="1298" max="1298" width="12.125" style="120" bestFit="1" customWidth="1"/>
    <col min="1299" max="1536" width="9.125" style="120"/>
    <col min="1537" max="1537" width="30.25" style="120" bestFit="1" customWidth="1"/>
    <col min="1538" max="1538" width="16.125" style="120" bestFit="1" customWidth="1"/>
    <col min="1539" max="1539" width="14.25" style="120" customWidth="1"/>
    <col min="1540" max="1540" width="12.25" style="120" customWidth="1"/>
    <col min="1541" max="1541" width="16" style="120" customWidth="1"/>
    <col min="1542" max="1542" width="9.75" style="120" customWidth="1"/>
    <col min="1543" max="1543" width="8" style="120" bestFit="1" customWidth="1"/>
    <col min="1544" max="1550" width="9.75" style="120" customWidth="1"/>
    <col min="1551" max="1553" width="10.25" style="120" bestFit="1" customWidth="1"/>
    <col min="1554" max="1554" width="12.125" style="120" bestFit="1" customWidth="1"/>
    <col min="1555" max="1792" width="9.125" style="120"/>
    <col min="1793" max="1793" width="30.25" style="120" bestFit="1" customWidth="1"/>
    <col min="1794" max="1794" width="16.125" style="120" bestFit="1" customWidth="1"/>
    <col min="1795" max="1795" width="14.25" style="120" customWidth="1"/>
    <col min="1796" max="1796" width="12.25" style="120" customWidth="1"/>
    <col min="1797" max="1797" width="16" style="120" customWidth="1"/>
    <col min="1798" max="1798" width="9.75" style="120" customWidth="1"/>
    <col min="1799" max="1799" width="8" style="120" bestFit="1" customWidth="1"/>
    <col min="1800" max="1806" width="9.75" style="120" customWidth="1"/>
    <col min="1807" max="1809" width="10.25" style="120" bestFit="1" customWidth="1"/>
    <col min="1810" max="1810" width="12.125" style="120" bestFit="1" customWidth="1"/>
    <col min="1811" max="2048" width="9.125" style="120"/>
    <col min="2049" max="2049" width="30.25" style="120" bestFit="1" customWidth="1"/>
    <col min="2050" max="2050" width="16.125" style="120" bestFit="1" customWidth="1"/>
    <col min="2051" max="2051" width="14.25" style="120" customWidth="1"/>
    <col min="2052" max="2052" width="12.25" style="120" customWidth="1"/>
    <col min="2053" max="2053" width="16" style="120" customWidth="1"/>
    <col min="2054" max="2054" width="9.75" style="120" customWidth="1"/>
    <col min="2055" max="2055" width="8" style="120" bestFit="1" customWidth="1"/>
    <col min="2056" max="2062" width="9.75" style="120" customWidth="1"/>
    <col min="2063" max="2065" width="10.25" style="120" bestFit="1" customWidth="1"/>
    <col min="2066" max="2066" width="12.125" style="120" bestFit="1" customWidth="1"/>
    <col min="2067" max="2304" width="9.125" style="120"/>
    <col min="2305" max="2305" width="30.25" style="120" bestFit="1" customWidth="1"/>
    <col min="2306" max="2306" width="16.125" style="120" bestFit="1" customWidth="1"/>
    <col min="2307" max="2307" width="14.25" style="120" customWidth="1"/>
    <col min="2308" max="2308" width="12.25" style="120" customWidth="1"/>
    <col min="2309" max="2309" width="16" style="120" customWidth="1"/>
    <col min="2310" max="2310" width="9.75" style="120" customWidth="1"/>
    <col min="2311" max="2311" width="8" style="120" bestFit="1" customWidth="1"/>
    <col min="2312" max="2318" width="9.75" style="120" customWidth="1"/>
    <col min="2319" max="2321" width="10.25" style="120" bestFit="1" customWidth="1"/>
    <col min="2322" max="2322" width="12.125" style="120" bestFit="1" customWidth="1"/>
    <col min="2323" max="2560" width="9.125" style="120"/>
    <col min="2561" max="2561" width="30.25" style="120" bestFit="1" customWidth="1"/>
    <col min="2562" max="2562" width="16.125" style="120" bestFit="1" customWidth="1"/>
    <col min="2563" max="2563" width="14.25" style="120" customWidth="1"/>
    <col min="2564" max="2564" width="12.25" style="120" customWidth="1"/>
    <col min="2565" max="2565" width="16" style="120" customWidth="1"/>
    <col min="2566" max="2566" width="9.75" style="120" customWidth="1"/>
    <col min="2567" max="2567" width="8" style="120" bestFit="1" customWidth="1"/>
    <col min="2568" max="2574" width="9.75" style="120" customWidth="1"/>
    <col min="2575" max="2577" width="10.25" style="120" bestFit="1" customWidth="1"/>
    <col min="2578" max="2578" width="12.125" style="120" bestFit="1" customWidth="1"/>
    <col min="2579" max="2816" width="9.125" style="120"/>
    <col min="2817" max="2817" width="30.25" style="120" bestFit="1" customWidth="1"/>
    <col min="2818" max="2818" width="16.125" style="120" bestFit="1" customWidth="1"/>
    <col min="2819" max="2819" width="14.25" style="120" customWidth="1"/>
    <col min="2820" max="2820" width="12.25" style="120" customWidth="1"/>
    <col min="2821" max="2821" width="16" style="120" customWidth="1"/>
    <col min="2822" max="2822" width="9.75" style="120" customWidth="1"/>
    <col min="2823" max="2823" width="8" style="120" bestFit="1" customWidth="1"/>
    <col min="2824" max="2830" width="9.75" style="120" customWidth="1"/>
    <col min="2831" max="2833" width="10.25" style="120" bestFit="1" customWidth="1"/>
    <col min="2834" max="2834" width="12.125" style="120" bestFit="1" customWidth="1"/>
    <col min="2835" max="3072" width="9.125" style="120"/>
    <col min="3073" max="3073" width="30.25" style="120" bestFit="1" customWidth="1"/>
    <col min="3074" max="3074" width="16.125" style="120" bestFit="1" customWidth="1"/>
    <col min="3075" max="3075" width="14.25" style="120" customWidth="1"/>
    <col min="3076" max="3076" width="12.25" style="120" customWidth="1"/>
    <col min="3077" max="3077" width="16" style="120" customWidth="1"/>
    <col min="3078" max="3078" width="9.75" style="120" customWidth="1"/>
    <col min="3079" max="3079" width="8" style="120" bestFit="1" customWidth="1"/>
    <col min="3080" max="3086" width="9.75" style="120" customWidth="1"/>
    <col min="3087" max="3089" width="10.25" style="120" bestFit="1" customWidth="1"/>
    <col min="3090" max="3090" width="12.125" style="120" bestFit="1" customWidth="1"/>
    <col min="3091" max="3328" width="9.125" style="120"/>
    <col min="3329" max="3329" width="30.25" style="120" bestFit="1" customWidth="1"/>
    <col min="3330" max="3330" width="16.125" style="120" bestFit="1" customWidth="1"/>
    <col min="3331" max="3331" width="14.25" style="120" customWidth="1"/>
    <col min="3332" max="3332" width="12.25" style="120" customWidth="1"/>
    <col min="3333" max="3333" width="16" style="120" customWidth="1"/>
    <col min="3334" max="3334" width="9.75" style="120" customWidth="1"/>
    <col min="3335" max="3335" width="8" style="120" bestFit="1" customWidth="1"/>
    <col min="3336" max="3342" width="9.75" style="120" customWidth="1"/>
    <col min="3343" max="3345" width="10.25" style="120" bestFit="1" customWidth="1"/>
    <col min="3346" max="3346" width="12.125" style="120" bestFit="1" customWidth="1"/>
    <col min="3347" max="3584" width="9.125" style="120"/>
    <col min="3585" max="3585" width="30.25" style="120" bestFit="1" customWidth="1"/>
    <col min="3586" max="3586" width="16.125" style="120" bestFit="1" customWidth="1"/>
    <col min="3587" max="3587" width="14.25" style="120" customWidth="1"/>
    <col min="3588" max="3588" width="12.25" style="120" customWidth="1"/>
    <col min="3589" max="3589" width="16" style="120" customWidth="1"/>
    <col min="3590" max="3590" width="9.75" style="120" customWidth="1"/>
    <col min="3591" max="3591" width="8" style="120" bestFit="1" customWidth="1"/>
    <col min="3592" max="3598" width="9.75" style="120" customWidth="1"/>
    <col min="3599" max="3601" width="10.25" style="120" bestFit="1" customWidth="1"/>
    <col min="3602" max="3602" width="12.125" style="120" bestFit="1" customWidth="1"/>
    <col min="3603" max="3840" width="9.125" style="120"/>
    <col min="3841" max="3841" width="30.25" style="120" bestFit="1" customWidth="1"/>
    <col min="3842" max="3842" width="16.125" style="120" bestFit="1" customWidth="1"/>
    <col min="3843" max="3843" width="14.25" style="120" customWidth="1"/>
    <col min="3844" max="3844" width="12.25" style="120" customWidth="1"/>
    <col min="3845" max="3845" width="16" style="120" customWidth="1"/>
    <col min="3846" max="3846" width="9.75" style="120" customWidth="1"/>
    <col min="3847" max="3847" width="8" style="120" bestFit="1" customWidth="1"/>
    <col min="3848" max="3854" width="9.75" style="120" customWidth="1"/>
    <col min="3855" max="3857" width="10.25" style="120" bestFit="1" customWidth="1"/>
    <col min="3858" max="3858" width="12.125" style="120" bestFit="1" customWidth="1"/>
    <col min="3859" max="4096" width="9.125" style="120"/>
    <col min="4097" max="4097" width="30.25" style="120" bestFit="1" customWidth="1"/>
    <col min="4098" max="4098" width="16.125" style="120" bestFit="1" customWidth="1"/>
    <col min="4099" max="4099" width="14.25" style="120" customWidth="1"/>
    <col min="4100" max="4100" width="12.25" style="120" customWidth="1"/>
    <col min="4101" max="4101" width="16" style="120" customWidth="1"/>
    <col min="4102" max="4102" width="9.75" style="120" customWidth="1"/>
    <col min="4103" max="4103" width="8" style="120" bestFit="1" customWidth="1"/>
    <col min="4104" max="4110" width="9.75" style="120" customWidth="1"/>
    <col min="4111" max="4113" width="10.25" style="120" bestFit="1" customWidth="1"/>
    <col min="4114" max="4114" width="12.125" style="120" bestFit="1" customWidth="1"/>
    <col min="4115" max="4352" width="9.125" style="120"/>
    <col min="4353" max="4353" width="30.25" style="120" bestFit="1" customWidth="1"/>
    <col min="4354" max="4354" width="16.125" style="120" bestFit="1" customWidth="1"/>
    <col min="4355" max="4355" width="14.25" style="120" customWidth="1"/>
    <col min="4356" max="4356" width="12.25" style="120" customWidth="1"/>
    <col min="4357" max="4357" width="16" style="120" customWidth="1"/>
    <col min="4358" max="4358" width="9.75" style="120" customWidth="1"/>
    <col min="4359" max="4359" width="8" style="120" bestFit="1" customWidth="1"/>
    <col min="4360" max="4366" width="9.75" style="120" customWidth="1"/>
    <col min="4367" max="4369" width="10.25" style="120" bestFit="1" customWidth="1"/>
    <col min="4370" max="4370" width="12.125" style="120" bestFit="1" customWidth="1"/>
    <col min="4371" max="4608" width="9.125" style="120"/>
    <col min="4609" max="4609" width="30.25" style="120" bestFit="1" customWidth="1"/>
    <col min="4610" max="4610" width="16.125" style="120" bestFit="1" customWidth="1"/>
    <col min="4611" max="4611" width="14.25" style="120" customWidth="1"/>
    <col min="4612" max="4612" width="12.25" style="120" customWidth="1"/>
    <col min="4613" max="4613" width="16" style="120" customWidth="1"/>
    <col min="4614" max="4614" width="9.75" style="120" customWidth="1"/>
    <col min="4615" max="4615" width="8" style="120" bestFit="1" customWidth="1"/>
    <col min="4616" max="4622" width="9.75" style="120" customWidth="1"/>
    <col min="4623" max="4625" width="10.25" style="120" bestFit="1" customWidth="1"/>
    <col min="4626" max="4626" width="12.125" style="120" bestFit="1" customWidth="1"/>
    <col min="4627" max="4864" width="9.125" style="120"/>
    <col min="4865" max="4865" width="30.25" style="120" bestFit="1" customWidth="1"/>
    <col min="4866" max="4866" width="16.125" style="120" bestFit="1" customWidth="1"/>
    <col min="4867" max="4867" width="14.25" style="120" customWidth="1"/>
    <col min="4868" max="4868" width="12.25" style="120" customWidth="1"/>
    <col min="4869" max="4869" width="16" style="120" customWidth="1"/>
    <col min="4870" max="4870" width="9.75" style="120" customWidth="1"/>
    <col min="4871" max="4871" width="8" style="120" bestFit="1" customWidth="1"/>
    <col min="4872" max="4878" width="9.75" style="120" customWidth="1"/>
    <col min="4879" max="4881" width="10.25" style="120" bestFit="1" customWidth="1"/>
    <col min="4882" max="4882" width="12.125" style="120" bestFit="1" customWidth="1"/>
    <col min="4883" max="5120" width="9.125" style="120"/>
    <col min="5121" max="5121" width="30.25" style="120" bestFit="1" customWidth="1"/>
    <col min="5122" max="5122" width="16.125" style="120" bestFit="1" customWidth="1"/>
    <col min="5123" max="5123" width="14.25" style="120" customWidth="1"/>
    <col min="5124" max="5124" width="12.25" style="120" customWidth="1"/>
    <col min="5125" max="5125" width="16" style="120" customWidth="1"/>
    <col min="5126" max="5126" width="9.75" style="120" customWidth="1"/>
    <col min="5127" max="5127" width="8" style="120" bestFit="1" customWidth="1"/>
    <col min="5128" max="5134" width="9.75" style="120" customWidth="1"/>
    <col min="5135" max="5137" width="10.25" style="120" bestFit="1" customWidth="1"/>
    <col min="5138" max="5138" width="12.125" style="120" bestFit="1" customWidth="1"/>
    <col min="5139" max="5376" width="9.125" style="120"/>
    <col min="5377" max="5377" width="30.25" style="120" bestFit="1" customWidth="1"/>
    <col min="5378" max="5378" width="16.125" style="120" bestFit="1" customWidth="1"/>
    <col min="5379" max="5379" width="14.25" style="120" customWidth="1"/>
    <col min="5380" max="5380" width="12.25" style="120" customWidth="1"/>
    <col min="5381" max="5381" width="16" style="120" customWidth="1"/>
    <col min="5382" max="5382" width="9.75" style="120" customWidth="1"/>
    <col min="5383" max="5383" width="8" style="120" bestFit="1" customWidth="1"/>
    <col min="5384" max="5390" width="9.75" style="120" customWidth="1"/>
    <col min="5391" max="5393" width="10.25" style="120" bestFit="1" customWidth="1"/>
    <col min="5394" max="5394" width="12.125" style="120" bestFit="1" customWidth="1"/>
    <col min="5395" max="5632" width="9.125" style="120"/>
    <col min="5633" max="5633" width="30.25" style="120" bestFit="1" customWidth="1"/>
    <col min="5634" max="5634" width="16.125" style="120" bestFit="1" customWidth="1"/>
    <col min="5635" max="5635" width="14.25" style="120" customWidth="1"/>
    <col min="5636" max="5636" width="12.25" style="120" customWidth="1"/>
    <col min="5637" max="5637" width="16" style="120" customWidth="1"/>
    <col min="5638" max="5638" width="9.75" style="120" customWidth="1"/>
    <col min="5639" max="5639" width="8" style="120" bestFit="1" customWidth="1"/>
    <col min="5640" max="5646" width="9.75" style="120" customWidth="1"/>
    <col min="5647" max="5649" width="10.25" style="120" bestFit="1" customWidth="1"/>
    <col min="5650" max="5650" width="12.125" style="120" bestFit="1" customWidth="1"/>
    <col min="5651" max="5888" width="9.125" style="120"/>
    <col min="5889" max="5889" width="30.25" style="120" bestFit="1" customWidth="1"/>
    <col min="5890" max="5890" width="16.125" style="120" bestFit="1" customWidth="1"/>
    <col min="5891" max="5891" width="14.25" style="120" customWidth="1"/>
    <col min="5892" max="5892" width="12.25" style="120" customWidth="1"/>
    <col min="5893" max="5893" width="16" style="120" customWidth="1"/>
    <col min="5894" max="5894" width="9.75" style="120" customWidth="1"/>
    <col min="5895" max="5895" width="8" style="120" bestFit="1" customWidth="1"/>
    <col min="5896" max="5902" width="9.75" style="120" customWidth="1"/>
    <col min="5903" max="5905" width="10.25" style="120" bestFit="1" customWidth="1"/>
    <col min="5906" max="5906" width="12.125" style="120" bestFit="1" customWidth="1"/>
    <col min="5907" max="6144" width="9.125" style="120"/>
    <col min="6145" max="6145" width="30.25" style="120" bestFit="1" customWidth="1"/>
    <col min="6146" max="6146" width="16.125" style="120" bestFit="1" customWidth="1"/>
    <col min="6147" max="6147" width="14.25" style="120" customWidth="1"/>
    <col min="6148" max="6148" width="12.25" style="120" customWidth="1"/>
    <col min="6149" max="6149" width="16" style="120" customWidth="1"/>
    <col min="6150" max="6150" width="9.75" style="120" customWidth="1"/>
    <col min="6151" max="6151" width="8" style="120" bestFit="1" customWidth="1"/>
    <col min="6152" max="6158" width="9.75" style="120" customWidth="1"/>
    <col min="6159" max="6161" width="10.25" style="120" bestFit="1" customWidth="1"/>
    <col min="6162" max="6162" width="12.125" style="120" bestFit="1" customWidth="1"/>
    <col min="6163" max="6400" width="9.125" style="120"/>
    <col min="6401" max="6401" width="30.25" style="120" bestFit="1" customWidth="1"/>
    <col min="6402" max="6402" width="16.125" style="120" bestFit="1" customWidth="1"/>
    <col min="6403" max="6403" width="14.25" style="120" customWidth="1"/>
    <col min="6404" max="6404" width="12.25" style="120" customWidth="1"/>
    <col min="6405" max="6405" width="16" style="120" customWidth="1"/>
    <col min="6406" max="6406" width="9.75" style="120" customWidth="1"/>
    <col min="6407" max="6407" width="8" style="120" bestFit="1" customWidth="1"/>
    <col min="6408" max="6414" width="9.75" style="120" customWidth="1"/>
    <col min="6415" max="6417" width="10.25" style="120" bestFit="1" customWidth="1"/>
    <col min="6418" max="6418" width="12.125" style="120" bestFit="1" customWidth="1"/>
    <col min="6419" max="6656" width="9.125" style="120"/>
    <col min="6657" max="6657" width="30.25" style="120" bestFit="1" customWidth="1"/>
    <col min="6658" max="6658" width="16.125" style="120" bestFit="1" customWidth="1"/>
    <col min="6659" max="6659" width="14.25" style="120" customWidth="1"/>
    <col min="6660" max="6660" width="12.25" style="120" customWidth="1"/>
    <col min="6661" max="6661" width="16" style="120" customWidth="1"/>
    <col min="6662" max="6662" width="9.75" style="120" customWidth="1"/>
    <col min="6663" max="6663" width="8" style="120" bestFit="1" customWidth="1"/>
    <col min="6664" max="6670" width="9.75" style="120" customWidth="1"/>
    <col min="6671" max="6673" width="10.25" style="120" bestFit="1" customWidth="1"/>
    <col min="6674" max="6674" width="12.125" style="120" bestFit="1" customWidth="1"/>
    <col min="6675" max="6912" width="9.125" style="120"/>
    <col min="6913" max="6913" width="30.25" style="120" bestFit="1" customWidth="1"/>
    <col min="6914" max="6914" width="16.125" style="120" bestFit="1" customWidth="1"/>
    <col min="6915" max="6915" width="14.25" style="120" customWidth="1"/>
    <col min="6916" max="6916" width="12.25" style="120" customWidth="1"/>
    <col min="6917" max="6917" width="16" style="120" customWidth="1"/>
    <col min="6918" max="6918" width="9.75" style="120" customWidth="1"/>
    <col min="6919" max="6919" width="8" style="120" bestFit="1" customWidth="1"/>
    <col min="6920" max="6926" width="9.75" style="120" customWidth="1"/>
    <col min="6927" max="6929" width="10.25" style="120" bestFit="1" customWidth="1"/>
    <col min="6930" max="6930" width="12.125" style="120" bestFit="1" customWidth="1"/>
    <col min="6931" max="7168" width="9.125" style="120"/>
    <col min="7169" max="7169" width="30.25" style="120" bestFit="1" customWidth="1"/>
    <col min="7170" max="7170" width="16.125" style="120" bestFit="1" customWidth="1"/>
    <col min="7171" max="7171" width="14.25" style="120" customWidth="1"/>
    <col min="7172" max="7172" width="12.25" style="120" customWidth="1"/>
    <col min="7173" max="7173" width="16" style="120" customWidth="1"/>
    <col min="7174" max="7174" width="9.75" style="120" customWidth="1"/>
    <col min="7175" max="7175" width="8" style="120" bestFit="1" customWidth="1"/>
    <col min="7176" max="7182" width="9.75" style="120" customWidth="1"/>
    <col min="7183" max="7185" width="10.25" style="120" bestFit="1" customWidth="1"/>
    <col min="7186" max="7186" width="12.125" style="120" bestFit="1" customWidth="1"/>
    <col min="7187" max="7424" width="9.125" style="120"/>
    <col min="7425" max="7425" width="30.25" style="120" bestFit="1" customWidth="1"/>
    <col min="7426" max="7426" width="16.125" style="120" bestFit="1" customWidth="1"/>
    <col min="7427" max="7427" width="14.25" style="120" customWidth="1"/>
    <col min="7428" max="7428" width="12.25" style="120" customWidth="1"/>
    <col min="7429" max="7429" width="16" style="120" customWidth="1"/>
    <col min="7430" max="7430" width="9.75" style="120" customWidth="1"/>
    <col min="7431" max="7431" width="8" style="120" bestFit="1" customWidth="1"/>
    <col min="7432" max="7438" width="9.75" style="120" customWidth="1"/>
    <col min="7439" max="7441" width="10.25" style="120" bestFit="1" customWidth="1"/>
    <col min="7442" max="7442" width="12.125" style="120" bestFit="1" customWidth="1"/>
    <col min="7443" max="7680" width="9.125" style="120"/>
    <col min="7681" max="7681" width="30.25" style="120" bestFit="1" customWidth="1"/>
    <col min="7682" max="7682" width="16.125" style="120" bestFit="1" customWidth="1"/>
    <col min="7683" max="7683" width="14.25" style="120" customWidth="1"/>
    <col min="7684" max="7684" width="12.25" style="120" customWidth="1"/>
    <col min="7685" max="7685" width="16" style="120" customWidth="1"/>
    <col min="7686" max="7686" width="9.75" style="120" customWidth="1"/>
    <col min="7687" max="7687" width="8" style="120" bestFit="1" customWidth="1"/>
    <col min="7688" max="7694" width="9.75" style="120" customWidth="1"/>
    <col min="7695" max="7697" width="10.25" style="120" bestFit="1" customWidth="1"/>
    <col min="7698" max="7698" width="12.125" style="120" bestFit="1" customWidth="1"/>
    <col min="7699" max="7936" width="9.125" style="120"/>
    <col min="7937" max="7937" width="30.25" style="120" bestFit="1" customWidth="1"/>
    <col min="7938" max="7938" width="16.125" style="120" bestFit="1" customWidth="1"/>
    <col min="7939" max="7939" width="14.25" style="120" customWidth="1"/>
    <col min="7940" max="7940" width="12.25" style="120" customWidth="1"/>
    <col min="7941" max="7941" width="16" style="120" customWidth="1"/>
    <col min="7942" max="7942" width="9.75" style="120" customWidth="1"/>
    <col min="7943" max="7943" width="8" style="120" bestFit="1" customWidth="1"/>
    <col min="7944" max="7950" width="9.75" style="120" customWidth="1"/>
    <col min="7951" max="7953" width="10.25" style="120" bestFit="1" customWidth="1"/>
    <col min="7954" max="7954" width="12.125" style="120" bestFit="1" customWidth="1"/>
    <col min="7955" max="8192" width="9.125" style="120"/>
    <col min="8193" max="8193" width="30.25" style="120" bestFit="1" customWidth="1"/>
    <col min="8194" max="8194" width="16.125" style="120" bestFit="1" customWidth="1"/>
    <col min="8195" max="8195" width="14.25" style="120" customWidth="1"/>
    <col min="8196" max="8196" width="12.25" style="120" customWidth="1"/>
    <col min="8197" max="8197" width="16" style="120" customWidth="1"/>
    <col min="8198" max="8198" width="9.75" style="120" customWidth="1"/>
    <col min="8199" max="8199" width="8" style="120" bestFit="1" customWidth="1"/>
    <col min="8200" max="8206" width="9.75" style="120" customWidth="1"/>
    <col min="8207" max="8209" width="10.25" style="120" bestFit="1" customWidth="1"/>
    <col min="8210" max="8210" width="12.125" style="120" bestFit="1" customWidth="1"/>
    <col min="8211" max="8448" width="9.125" style="120"/>
    <col min="8449" max="8449" width="30.25" style="120" bestFit="1" customWidth="1"/>
    <col min="8450" max="8450" width="16.125" style="120" bestFit="1" customWidth="1"/>
    <col min="8451" max="8451" width="14.25" style="120" customWidth="1"/>
    <col min="8452" max="8452" width="12.25" style="120" customWidth="1"/>
    <col min="8453" max="8453" width="16" style="120" customWidth="1"/>
    <col min="8454" max="8454" width="9.75" style="120" customWidth="1"/>
    <col min="8455" max="8455" width="8" style="120" bestFit="1" customWidth="1"/>
    <col min="8456" max="8462" width="9.75" style="120" customWidth="1"/>
    <col min="8463" max="8465" width="10.25" style="120" bestFit="1" customWidth="1"/>
    <col min="8466" max="8466" width="12.125" style="120" bestFit="1" customWidth="1"/>
    <col min="8467" max="8704" width="9.125" style="120"/>
    <col min="8705" max="8705" width="30.25" style="120" bestFit="1" customWidth="1"/>
    <col min="8706" max="8706" width="16.125" style="120" bestFit="1" customWidth="1"/>
    <col min="8707" max="8707" width="14.25" style="120" customWidth="1"/>
    <col min="8708" max="8708" width="12.25" style="120" customWidth="1"/>
    <col min="8709" max="8709" width="16" style="120" customWidth="1"/>
    <col min="8710" max="8710" width="9.75" style="120" customWidth="1"/>
    <col min="8711" max="8711" width="8" style="120" bestFit="1" customWidth="1"/>
    <col min="8712" max="8718" width="9.75" style="120" customWidth="1"/>
    <col min="8719" max="8721" width="10.25" style="120" bestFit="1" customWidth="1"/>
    <col min="8722" max="8722" width="12.125" style="120" bestFit="1" customWidth="1"/>
    <col min="8723" max="8960" width="9.125" style="120"/>
    <col min="8961" max="8961" width="30.25" style="120" bestFit="1" customWidth="1"/>
    <col min="8962" max="8962" width="16.125" style="120" bestFit="1" customWidth="1"/>
    <col min="8963" max="8963" width="14.25" style="120" customWidth="1"/>
    <col min="8964" max="8964" width="12.25" style="120" customWidth="1"/>
    <col min="8965" max="8965" width="16" style="120" customWidth="1"/>
    <col min="8966" max="8966" width="9.75" style="120" customWidth="1"/>
    <col min="8967" max="8967" width="8" style="120" bestFit="1" customWidth="1"/>
    <col min="8968" max="8974" width="9.75" style="120" customWidth="1"/>
    <col min="8975" max="8977" width="10.25" style="120" bestFit="1" customWidth="1"/>
    <col min="8978" max="8978" width="12.125" style="120" bestFit="1" customWidth="1"/>
    <col min="8979" max="9216" width="9.125" style="120"/>
    <col min="9217" max="9217" width="30.25" style="120" bestFit="1" customWidth="1"/>
    <col min="9218" max="9218" width="16.125" style="120" bestFit="1" customWidth="1"/>
    <col min="9219" max="9219" width="14.25" style="120" customWidth="1"/>
    <col min="9220" max="9220" width="12.25" style="120" customWidth="1"/>
    <col min="9221" max="9221" width="16" style="120" customWidth="1"/>
    <col min="9222" max="9222" width="9.75" style="120" customWidth="1"/>
    <col min="9223" max="9223" width="8" style="120" bestFit="1" customWidth="1"/>
    <col min="9224" max="9230" width="9.75" style="120" customWidth="1"/>
    <col min="9231" max="9233" width="10.25" style="120" bestFit="1" customWidth="1"/>
    <col min="9234" max="9234" width="12.125" style="120" bestFit="1" customWidth="1"/>
    <col min="9235" max="9472" width="9.125" style="120"/>
    <col min="9473" max="9473" width="30.25" style="120" bestFit="1" customWidth="1"/>
    <col min="9474" max="9474" width="16.125" style="120" bestFit="1" customWidth="1"/>
    <col min="9475" max="9475" width="14.25" style="120" customWidth="1"/>
    <col min="9476" max="9476" width="12.25" style="120" customWidth="1"/>
    <col min="9477" max="9477" width="16" style="120" customWidth="1"/>
    <col min="9478" max="9478" width="9.75" style="120" customWidth="1"/>
    <col min="9479" max="9479" width="8" style="120" bestFit="1" customWidth="1"/>
    <col min="9480" max="9486" width="9.75" style="120" customWidth="1"/>
    <col min="9487" max="9489" width="10.25" style="120" bestFit="1" customWidth="1"/>
    <col min="9490" max="9490" width="12.125" style="120" bestFit="1" customWidth="1"/>
    <col min="9491" max="9728" width="9.125" style="120"/>
    <col min="9729" max="9729" width="30.25" style="120" bestFit="1" customWidth="1"/>
    <col min="9730" max="9730" width="16.125" style="120" bestFit="1" customWidth="1"/>
    <col min="9731" max="9731" width="14.25" style="120" customWidth="1"/>
    <col min="9732" max="9732" width="12.25" style="120" customWidth="1"/>
    <col min="9733" max="9733" width="16" style="120" customWidth="1"/>
    <col min="9734" max="9734" width="9.75" style="120" customWidth="1"/>
    <col min="9735" max="9735" width="8" style="120" bestFit="1" customWidth="1"/>
    <col min="9736" max="9742" width="9.75" style="120" customWidth="1"/>
    <col min="9743" max="9745" width="10.25" style="120" bestFit="1" customWidth="1"/>
    <col min="9746" max="9746" width="12.125" style="120" bestFit="1" customWidth="1"/>
    <col min="9747" max="9984" width="9.125" style="120"/>
    <col min="9985" max="9985" width="30.25" style="120" bestFit="1" customWidth="1"/>
    <col min="9986" max="9986" width="16.125" style="120" bestFit="1" customWidth="1"/>
    <col min="9987" max="9987" width="14.25" style="120" customWidth="1"/>
    <col min="9988" max="9988" width="12.25" style="120" customWidth="1"/>
    <col min="9989" max="9989" width="16" style="120" customWidth="1"/>
    <col min="9990" max="9990" width="9.75" style="120" customWidth="1"/>
    <col min="9991" max="9991" width="8" style="120" bestFit="1" customWidth="1"/>
    <col min="9992" max="9998" width="9.75" style="120" customWidth="1"/>
    <col min="9999" max="10001" width="10.25" style="120" bestFit="1" customWidth="1"/>
    <col min="10002" max="10002" width="12.125" style="120" bestFit="1" customWidth="1"/>
    <col min="10003" max="10240" width="9.125" style="120"/>
    <col min="10241" max="10241" width="30.25" style="120" bestFit="1" customWidth="1"/>
    <col min="10242" max="10242" width="16.125" style="120" bestFit="1" customWidth="1"/>
    <col min="10243" max="10243" width="14.25" style="120" customWidth="1"/>
    <col min="10244" max="10244" width="12.25" style="120" customWidth="1"/>
    <col min="10245" max="10245" width="16" style="120" customWidth="1"/>
    <col min="10246" max="10246" width="9.75" style="120" customWidth="1"/>
    <col min="10247" max="10247" width="8" style="120" bestFit="1" customWidth="1"/>
    <col min="10248" max="10254" width="9.75" style="120" customWidth="1"/>
    <col min="10255" max="10257" width="10.25" style="120" bestFit="1" customWidth="1"/>
    <col min="10258" max="10258" width="12.125" style="120" bestFit="1" customWidth="1"/>
    <col min="10259" max="10496" width="9.125" style="120"/>
    <col min="10497" max="10497" width="30.25" style="120" bestFit="1" customWidth="1"/>
    <col min="10498" max="10498" width="16.125" style="120" bestFit="1" customWidth="1"/>
    <col min="10499" max="10499" width="14.25" style="120" customWidth="1"/>
    <col min="10500" max="10500" width="12.25" style="120" customWidth="1"/>
    <col min="10501" max="10501" width="16" style="120" customWidth="1"/>
    <col min="10502" max="10502" width="9.75" style="120" customWidth="1"/>
    <col min="10503" max="10503" width="8" style="120" bestFit="1" customWidth="1"/>
    <col min="10504" max="10510" width="9.75" style="120" customWidth="1"/>
    <col min="10511" max="10513" width="10.25" style="120" bestFit="1" customWidth="1"/>
    <col min="10514" max="10514" width="12.125" style="120" bestFit="1" customWidth="1"/>
    <col min="10515" max="10752" width="9.125" style="120"/>
    <col min="10753" max="10753" width="30.25" style="120" bestFit="1" customWidth="1"/>
    <col min="10754" max="10754" width="16.125" style="120" bestFit="1" customWidth="1"/>
    <col min="10755" max="10755" width="14.25" style="120" customWidth="1"/>
    <col min="10756" max="10756" width="12.25" style="120" customWidth="1"/>
    <col min="10757" max="10757" width="16" style="120" customWidth="1"/>
    <col min="10758" max="10758" width="9.75" style="120" customWidth="1"/>
    <col min="10759" max="10759" width="8" style="120" bestFit="1" customWidth="1"/>
    <col min="10760" max="10766" width="9.75" style="120" customWidth="1"/>
    <col min="10767" max="10769" width="10.25" style="120" bestFit="1" customWidth="1"/>
    <col min="10770" max="10770" width="12.125" style="120" bestFit="1" customWidth="1"/>
    <col min="10771" max="11008" width="9.125" style="120"/>
    <col min="11009" max="11009" width="30.25" style="120" bestFit="1" customWidth="1"/>
    <col min="11010" max="11010" width="16.125" style="120" bestFit="1" customWidth="1"/>
    <col min="11011" max="11011" width="14.25" style="120" customWidth="1"/>
    <col min="11012" max="11012" width="12.25" style="120" customWidth="1"/>
    <col min="11013" max="11013" width="16" style="120" customWidth="1"/>
    <col min="11014" max="11014" width="9.75" style="120" customWidth="1"/>
    <col min="11015" max="11015" width="8" style="120" bestFit="1" customWidth="1"/>
    <col min="11016" max="11022" width="9.75" style="120" customWidth="1"/>
    <col min="11023" max="11025" width="10.25" style="120" bestFit="1" customWidth="1"/>
    <col min="11026" max="11026" width="12.125" style="120" bestFit="1" customWidth="1"/>
    <col min="11027" max="11264" width="9.125" style="120"/>
    <col min="11265" max="11265" width="30.25" style="120" bestFit="1" customWidth="1"/>
    <col min="11266" max="11266" width="16.125" style="120" bestFit="1" customWidth="1"/>
    <col min="11267" max="11267" width="14.25" style="120" customWidth="1"/>
    <col min="11268" max="11268" width="12.25" style="120" customWidth="1"/>
    <col min="11269" max="11269" width="16" style="120" customWidth="1"/>
    <col min="11270" max="11270" width="9.75" style="120" customWidth="1"/>
    <col min="11271" max="11271" width="8" style="120" bestFit="1" customWidth="1"/>
    <col min="11272" max="11278" width="9.75" style="120" customWidth="1"/>
    <col min="11279" max="11281" width="10.25" style="120" bestFit="1" customWidth="1"/>
    <col min="11282" max="11282" width="12.125" style="120" bestFit="1" customWidth="1"/>
    <col min="11283" max="11520" width="9.125" style="120"/>
    <col min="11521" max="11521" width="30.25" style="120" bestFit="1" customWidth="1"/>
    <col min="11522" max="11522" width="16.125" style="120" bestFit="1" customWidth="1"/>
    <col min="11523" max="11523" width="14.25" style="120" customWidth="1"/>
    <col min="11524" max="11524" width="12.25" style="120" customWidth="1"/>
    <col min="11525" max="11525" width="16" style="120" customWidth="1"/>
    <col min="11526" max="11526" width="9.75" style="120" customWidth="1"/>
    <col min="11527" max="11527" width="8" style="120" bestFit="1" customWidth="1"/>
    <col min="11528" max="11534" width="9.75" style="120" customWidth="1"/>
    <col min="11535" max="11537" width="10.25" style="120" bestFit="1" customWidth="1"/>
    <col min="11538" max="11538" width="12.125" style="120" bestFit="1" customWidth="1"/>
    <col min="11539" max="11776" width="9.125" style="120"/>
    <col min="11777" max="11777" width="30.25" style="120" bestFit="1" customWidth="1"/>
    <col min="11778" max="11778" width="16.125" style="120" bestFit="1" customWidth="1"/>
    <col min="11779" max="11779" width="14.25" style="120" customWidth="1"/>
    <col min="11780" max="11780" width="12.25" style="120" customWidth="1"/>
    <col min="11781" max="11781" width="16" style="120" customWidth="1"/>
    <col min="11782" max="11782" width="9.75" style="120" customWidth="1"/>
    <col min="11783" max="11783" width="8" style="120" bestFit="1" customWidth="1"/>
    <col min="11784" max="11790" width="9.75" style="120" customWidth="1"/>
    <col min="11791" max="11793" width="10.25" style="120" bestFit="1" customWidth="1"/>
    <col min="11794" max="11794" width="12.125" style="120" bestFit="1" customWidth="1"/>
    <col min="11795" max="12032" width="9.125" style="120"/>
    <col min="12033" max="12033" width="30.25" style="120" bestFit="1" customWidth="1"/>
    <col min="12034" max="12034" width="16.125" style="120" bestFit="1" customWidth="1"/>
    <col min="12035" max="12035" width="14.25" style="120" customWidth="1"/>
    <col min="12036" max="12036" width="12.25" style="120" customWidth="1"/>
    <col min="12037" max="12037" width="16" style="120" customWidth="1"/>
    <col min="12038" max="12038" width="9.75" style="120" customWidth="1"/>
    <col min="12039" max="12039" width="8" style="120" bestFit="1" customWidth="1"/>
    <col min="12040" max="12046" width="9.75" style="120" customWidth="1"/>
    <col min="12047" max="12049" width="10.25" style="120" bestFit="1" customWidth="1"/>
    <col min="12050" max="12050" width="12.125" style="120" bestFit="1" customWidth="1"/>
    <col min="12051" max="12288" width="9.125" style="120"/>
    <col min="12289" max="12289" width="30.25" style="120" bestFit="1" customWidth="1"/>
    <col min="12290" max="12290" width="16.125" style="120" bestFit="1" customWidth="1"/>
    <col min="12291" max="12291" width="14.25" style="120" customWidth="1"/>
    <col min="12292" max="12292" width="12.25" style="120" customWidth="1"/>
    <col min="12293" max="12293" width="16" style="120" customWidth="1"/>
    <col min="12294" max="12294" width="9.75" style="120" customWidth="1"/>
    <col min="12295" max="12295" width="8" style="120" bestFit="1" customWidth="1"/>
    <col min="12296" max="12302" width="9.75" style="120" customWidth="1"/>
    <col min="12303" max="12305" width="10.25" style="120" bestFit="1" customWidth="1"/>
    <col min="12306" max="12306" width="12.125" style="120" bestFit="1" customWidth="1"/>
    <col min="12307" max="12544" width="9.125" style="120"/>
    <col min="12545" max="12545" width="30.25" style="120" bestFit="1" customWidth="1"/>
    <col min="12546" max="12546" width="16.125" style="120" bestFit="1" customWidth="1"/>
    <col min="12547" max="12547" width="14.25" style="120" customWidth="1"/>
    <col min="12548" max="12548" width="12.25" style="120" customWidth="1"/>
    <col min="12549" max="12549" width="16" style="120" customWidth="1"/>
    <col min="12550" max="12550" width="9.75" style="120" customWidth="1"/>
    <col min="12551" max="12551" width="8" style="120" bestFit="1" customWidth="1"/>
    <col min="12552" max="12558" width="9.75" style="120" customWidth="1"/>
    <col min="12559" max="12561" width="10.25" style="120" bestFit="1" customWidth="1"/>
    <col min="12562" max="12562" width="12.125" style="120" bestFit="1" customWidth="1"/>
    <col min="12563" max="12800" width="9.125" style="120"/>
    <col min="12801" max="12801" width="30.25" style="120" bestFit="1" customWidth="1"/>
    <col min="12802" max="12802" width="16.125" style="120" bestFit="1" customWidth="1"/>
    <col min="12803" max="12803" width="14.25" style="120" customWidth="1"/>
    <col min="12804" max="12804" width="12.25" style="120" customWidth="1"/>
    <col min="12805" max="12805" width="16" style="120" customWidth="1"/>
    <col min="12806" max="12806" width="9.75" style="120" customWidth="1"/>
    <col min="12807" max="12807" width="8" style="120" bestFit="1" customWidth="1"/>
    <col min="12808" max="12814" width="9.75" style="120" customWidth="1"/>
    <col min="12815" max="12817" width="10.25" style="120" bestFit="1" customWidth="1"/>
    <col min="12818" max="12818" width="12.125" style="120" bestFit="1" customWidth="1"/>
    <col min="12819" max="13056" width="9.125" style="120"/>
    <col min="13057" max="13057" width="30.25" style="120" bestFit="1" customWidth="1"/>
    <col min="13058" max="13058" width="16.125" style="120" bestFit="1" customWidth="1"/>
    <col min="13059" max="13059" width="14.25" style="120" customWidth="1"/>
    <col min="13060" max="13060" width="12.25" style="120" customWidth="1"/>
    <col min="13061" max="13061" width="16" style="120" customWidth="1"/>
    <col min="13062" max="13062" width="9.75" style="120" customWidth="1"/>
    <col min="13063" max="13063" width="8" style="120" bestFit="1" customWidth="1"/>
    <col min="13064" max="13070" width="9.75" style="120" customWidth="1"/>
    <col min="13071" max="13073" width="10.25" style="120" bestFit="1" customWidth="1"/>
    <col min="13074" max="13074" width="12.125" style="120" bestFit="1" customWidth="1"/>
    <col min="13075" max="13312" width="9.125" style="120"/>
    <col min="13313" max="13313" width="30.25" style="120" bestFit="1" customWidth="1"/>
    <col min="13314" max="13314" width="16.125" style="120" bestFit="1" customWidth="1"/>
    <col min="13315" max="13315" width="14.25" style="120" customWidth="1"/>
    <col min="13316" max="13316" width="12.25" style="120" customWidth="1"/>
    <col min="13317" max="13317" width="16" style="120" customWidth="1"/>
    <col min="13318" max="13318" width="9.75" style="120" customWidth="1"/>
    <col min="13319" max="13319" width="8" style="120" bestFit="1" customWidth="1"/>
    <col min="13320" max="13326" width="9.75" style="120" customWidth="1"/>
    <col min="13327" max="13329" width="10.25" style="120" bestFit="1" customWidth="1"/>
    <col min="13330" max="13330" width="12.125" style="120" bestFit="1" customWidth="1"/>
    <col min="13331" max="13568" width="9.125" style="120"/>
    <col min="13569" max="13569" width="30.25" style="120" bestFit="1" customWidth="1"/>
    <col min="13570" max="13570" width="16.125" style="120" bestFit="1" customWidth="1"/>
    <col min="13571" max="13571" width="14.25" style="120" customWidth="1"/>
    <col min="13572" max="13572" width="12.25" style="120" customWidth="1"/>
    <col min="13573" max="13573" width="16" style="120" customWidth="1"/>
    <col min="13574" max="13574" width="9.75" style="120" customWidth="1"/>
    <col min="13575" max="13575" width="8" style="120" bestFit="1" customWidth="1"/>
    <col min="13576" max="13582" width="9.75" style="120" customWidth="1"/>
    <col min="13583" max="13585" width="10.25" style="120" bestFit="1" customWidth="1"/>
    <col min="13586" max="13586" width="12.125" style="120" bestFit="1" customWidth="1"/>
    <col min="13587" max="13824" width="9.125" style="120"/>
    <col min="13825" max="13825" width="30.25" style="120" bestFit="1" customWidth="1"/>
    <col min="13826" max="13826" width="16.125" style="120" bestFit="1" customWidth="1"/>
    <col min="13827" max="13827" width="14.25" style="120" customWidth="1"/>
    <col min="13828" max="13828" width="12.25" style="120" customWidth="1"/>
    <col min="13829" max="13829" width="16" style="120" customWidth="1"/>
    <col min="13830" max="13830" width="9.75" style="120" customWidth="1"/>
    <col min="13831" max="13831" width="8" style="120" bestFit="1" customWidth="1"/>
    <col min="13832" max="13838" width="9.75" style="120" customWidth="1"/>
    <col min="13839" max="13841" width="10.25" style="120" bestFit="1" customWidth="1"/>
    <col min="13842" max="13842" width="12.125" style="120" bestFit="1" customWidth="1"/>
    <col min="13843" max="14080" width="9.125" style="120"/>
    <col min="14081" max="14081" width="30.25" style="120" bestFit="1" customWidth="1"/>
    <col min="14082" max="14082" width="16.125" style="120" bestFit="1" customWidth="1"/>
    <col min="14083" max="14083" width="14.25" style="120" customWidth="1"/>
    <col min="14084" max="14084" width="12.25" style="120" customWidth="1"/>
    <col min="14085" max="14085" width="16" style="120" customWidth="1"/>
    <col min="14086" max="14086" width="9.75" style="120" customWidth="1"/>
    <col min="14087" max="14087" width="8" style="120" bestFit="1" customWidth="1"/>
    <col min="14088" max="14094" width="9.75" style="120" customWidth="1"/>
    <col min="14095" max="14097" width="10.25" style="120" bestFit="1" customWidth="1"/>
    <col min="14098" max="14098" width="12.125" style="120" bestFit="1" customWidth="1"/>
    <col min="14099" max="14336" width="9.125" style="120"/>
    <col min="14337" max="14337" width="30.25" style="120" bestFit="1" customWidth="1"/>
    <col min="14338" max="14338" width="16.125" style="120" bestFit="1" customWidth="1"/>
    <col min="14339" max="14339" width="14.25" style="120" customWidth="1"/>
    <col min="14340" max="14340" width="12.25" style="120" customWidth="1"/>
    <col min="14341" max="14341" width="16" style="120" customWidth="1"/>
    <col min="14342" max="14342" width="9.75" style="120" customWidth="1"/>
    <col min="14343" max="14343" width="8" style="120" bestFit="1" customWidth="1"/>
    <col min="14344" max="14350" width="9.75" style="120" customWidth="1"/>
    <col min="14351" max="14353" width="10.25" style="120" bestFit="1" customWidth="1"/>
    <col min="14354" max="14354" width="12.125" style="120" bestFit="1" customWidth="1"/>
    <col min="14355" max="14592" width="9.125" style="120"/>
    <col min="14593" max="14593" width="30.25" style="120" bestFit="1" customWidth="1"/>
    <col min="14594" max="14594" width="16.125" style="120" bestFit="1" customWidth="1"/>
    <col min="14595" max="14595" width="14.25" style="120" customWidth="1"/>
    <col min="14596" max="14596" width="12.25" style="120" customWidth="1"/>
    <col min="14597" max="14597" width="16" style="120" customWidth="1"/>
    <col min="14598" max="14598" width="9.75" style="120" customWidth="1"/>
    <col min="14599" max="14599" width="8" style="120" bestFit="1" customWidth="1"/>
    <col min="14600" max="14606" width="9.75" style="120" customWidth="1"/>
    <col min="14607" max="14609" width="10.25" style="120" bestFit="1" customWidth="1"/>
    <col min="14610" max="14610" width="12.125" style="120" bestFit="1" customWidth="1"/>
    <col min="14611" max="14848" width="9.125" style="120"/>
    <col min="14849" max="14849" width="30.25" style="120" bestFit="1" customWidth="1"/>
    <col min="14850" max="14850" width="16.125" style="120" bestFit="1" customWidth="1"/>
    <col min="14851" max="14851" width="14.25" style="120" customWidth="1"/>
    <col min="14852" max="14852" width="12.25" style="120" customWidth="1"/>
    <col min="14853" max="14853" width="16" style="120" customWidth="1"/>
    <col min="14854" max="14854" width="9.75" style="120" customWidth="1"/>
    <col min="14855" max="14855" width="8" style="120" bestFit="1" customWidth="1"/>
    <col min="14856" max="14862" width="9.75" style="120" customWidth="1"/>
    <col min="14863" max="14865" width="10.25" style="120" bestFit="1" customWidth="1"/>
    <col min="14866" max="14866" width="12.125" style="120" bestFit="1" customWidth="1"/>
    <col min="14867" max="15104" width="9.125" style="120"/>
    <col min="15105" max="15105" width="30.25" style="120" bestFit="1" customWidth="1"/>
    <col min="15106" max="15106" width="16.125" style="120" bestFit="1" customWidth="1"/>
    <col min="15107" max="15107" width="14.25" style="120" customWidth="1"/>
    <col min="15108" max="15108" width="12.25" style="120" customWidth="1"/>
    <col min="15109" max="15109" width="16" style="120" customWidth="1"/>
    <col min="15110" max="15110" width="9.75" style="120" customWidth="1"/>
    <col min="15111" max="15111" width="8" style="120" bestFit="1" customWidth="1"/>
    <col min="15112" max="15118" width="9.75" style="120" customWidth="1"/>
    <col min="15119" max="15121" width="10.25" style="120" bestFit="1" customWidth="1"/>
    <col min="15122" max="15122" width="12.125" style="120" bestFit="1" customWidth="1"/>
    <col min="15123" max="15360" width="9.125" style="120"/>
    <col min="15361" max="15361" width="30.25" style="120" bestFit="1" customWidth="1"/>
    <col min="15362" max="15362" width="16.125" style="120" bestFit="1" customWidth="1"/>
    <col min="15363" max="15363" width="14.25" style="120" customWidth="1"/>
    <col min="15364" max="15364" width="12.25" style="120" customWidth="1"/>
    <col min="15365" max="15365" width="16" style="120" customWidth="1"/>
    <col min="15366" max="15366" width="9.75" style="120" customWidth="1"/>
    <col min="15367" max="15367" width="8" style="120" bestFit="1" customWidth="1"/>
    <col min="15368" max="15374" width="9.75" style="120" customWidth="1"/>
    <col min="15375" max="15377" width="10.25" style="120" bestFit="1" customWidth="1"/>
    <col min="15378" max="15378" width="12.125" style="120" bestFit="1" customWidth="1"/>
    <col min="15379" max="15616" width="9.125" style="120"/>
    <col min="15617" max="15617" width="30.25" style="120" bestFit="1" customWidth="1"/>
    <col min="15618" max="15618" width="16.125" style="120" bestFit="1" customWidth="1"/>
    <col min="15619" max="15619" width="14.25" style="120" customWidth="1"/>
    <col min="15620" max="15620" width="12.25" style="120" customWidth="1"/>
    <col min="15621" max="15621" width="16" style="120" customWidth="1"/>
    <col min="15622" max="15622" width="9.75" style="120" customWidth="1"/>
    <col min="15623" max="15623" width="8" style="120" bestFit="1" customWidth="1"/>
    <col min="15624" max="15630" width="9.75" style="120" customWidth="1"/>
    <col min="15631" max="15633" width="10.25" style="120" bestFit="1" customWidth="1"/>
    <col min="15634" max="15634" width="12.125" style="120" bestFit="1" customWidth="1"/>
    <col min="15635" max="15872" width="9.125" style="120"/>
    <col min="15873" max="15873" width="30.25" style="120" bestFit="1" customWidth="1"/>
    <col min="15874" max="15874" width="16.125" style="120" bestFit="1" customWidth="1"/>
    <col min="15875" max="15875" width="14.25" style="120" customWidth="1"/>
    <col min="15876" max="15876" width="12.25" style="120" customWidth="1"/>
    <col min="15877" max="15877" width="16" style="120" customWidth="1"/>
    <col min="15878" max="15878" width="9.75" style="120" customWidth="1"/>
    <col min="15879" max="15879" width="8" style="120" bestFit="1" customWidth="1"/>
    <col min="15880" max="15886" width="9.75" style="120" customWidth="1"/>
    <col min="15887" max="15889" width="10.25" style="120" bestFit="1" customWidth="1"/>
    <col min="15890" max="15890" width="12.125" style="120" bestFit="1" customWidth="1"/>
    <col min="15891" max="16128" width="9.125" style="120"/>
    <col min="16129" max="16129" width="30.25" style="120" bestFit="1" customWidth="1"/>
    <col min="16130" max="16130" width="16.125" style="120" bestFit="1" customWidth="1"/>
    <col min="16131" max="16131" width="14.25" style="120" customWidth="1"/>
    <col min="16132" max="16132" width="12.25" style="120" customWidth="1"/>
    <col min="16133" max="16133" width="16" style="120" customWidth="1"/>
    <col min="16134" max="16134" width="9.75" style="120" customWidth="1"/>
    <col min="16135" max="16135" width="8" style="120" bestFit="1" customWidth="1"/>
    <col min="16136" max="16142" width="9.75" style="120" customWidth="1"/>
    <col min="16143" max="16145" width="10.25" style="120" bestFit="1" customWidth="1"/>
    <col min="16146" max="16146" width="12.125" style="120" bestFit="1" customWidth="1"/>
    <col min="16147" max="16384" width="9.125" style="120"/>
  </cols>
  <sheetData>
    <row r="1" spans="1:18" x14ac:dyDescent="0.35">
      <c r="A1" s="117"/>
      <c r="B1" s="117"/>
      <c r="C1" s="117"/>
      <c r="D1" s="117"/>
      <c r="E1" s="117"/>
      <c r="F1" s="117"/>
      <c r="G1" s="118"/>
      <c r="H1" s="118"/>
      <c r="I1" s="118"/>
      <c r="J1" s="119"/>
      <c r="K1" s="118"/>
      <c r="L1" s="118"/>
      <c r="M1" s="118"/>
      <c r="N1" s="118"/>
      <c r="O1" s="118"/>
      <c r="P1" s="118"/>
      <c r="Q1" s="118"/>
      <c r="R1" s="118"/>
    </row>
    <row r="2" spans="1:18" x14ac:dyDescent="0.35">
      <c r="B2" s="121" t="s">
        <v>62</v>
      </c>
      <c r="C2" s="122"/>
      <c r="D2" s="122"/>
      <c r="E2" s="122"/>
      <c r="F2" s="122"/>
      <c r="G2" s="118"/>
      <c r="H2" s="118"/>
      <c r="I2" s="118"/>
      <c r="J2" s="118"/>
      <c r="K2" s="118"/>
      <c r="L2" s="118"/>
      <c r="M2" s="118"/>
      <c r="N2" s="118"/>
      <c r="O2" s="118"/>
      <c r="P2" s="118"/>
      <c r="Q2" s="118"/>
      <c r="R2" s="118"/>
    </row>
    <row r="3" spans="1:18" x14ac:dyDescent="0.35">
      <c r="B3" s="123"/>
      <c r="C3" s="122"/>
      <c r="D3" s="122"/>
      <c r="E3" s="122"/>
      <c r="F3" s="122"/>
      <c r="G3" s="118"/>
      <c r="H3" s="118"/>
      <c r="I3" s="118"/>
      <c r="J3" s="118"/>
      <c r="K3" s="118"/>
      <c r="L3" s="118"/>
      <c r="M3" s="118"/>
      <c r="N3" s="118"/>
      <c r="O3" s="118"/>
      <c r="P3" s="118"/>
      <c r="Q3" s="118"/>
      <c r="R3" s="118"/>
    </row>
    <row r="4" spans="1:18" x14ac:dyDescent="0.35">
      <c r="B4" s="121" t="s">
        <v>7</v>
      </c>
      <c r="C4" s="124" t="s">
        <v>8</v>
      </c>
      <c r="D4" s="122"/>
      <c r="E4" s="122"/>
      <c r="F4" s="122"/>
      <c r="G4" s="118"/>
      <c r="H4" s="118"/>
      <c r="I4" s="118"/>
      <c r="J4" s="118"/>
      <c r="K4" s="118"/>
      <c r="L4" s="118"/>
      <c r="M4" s="118"/>
      <c r="N4" s="118"/>
      <c r="O4" s="118"/>
      <c r="P4" s="118"/>
      <c r="Q4" s="118"/>
      <c r="R4" s="118"/>
    </row>
    <row r="5" spans="1:18" x14ac:dyDescent="0.35">
      <c r="B5" s="125" t="str">
        <f>IF(ISBLANK(Directions!C6), "Owner", Directions!C6)</f>
        <v>Owner</v>
      </c>
      <c r="C5" s="119" t="str">
        <f>IF(ISBLANK(Directions!D6), "Company 1", Directions!D6)</f>
        <v>Company 1</v>
      </c>
      <c r="D5" s="122"/>
      <c r="E5" s="122"/>
      <c r="F5" s="122"/>
      <c r="G5" s="118"/>
      <c r="H5" s="118"/>
      <c r="I5" s="118"/>
      <c r="J5" s="118"/>
      <c r="K5" s="118"/>
      <c r="L5" s="118"/>
      <c r="M5" s="118"/>
      <c r="N5" s="118"/>
      <c r="O5" s="118"/>
      <c r="P5" s="118"/>
      <c r="Q5" s="118"/>
      <c r="R5" s="118"/>
    </row>
    <row r="6" spans="1:18" x14ac:dyDescent="0.35">
      <c r="B6" s="117"/>
      <c r="C6" s="117"/>
      <c r="D6" s="117"/>
      <c r="E6" s="117"/>
      <c r="F6" s="117"/>
      <c r="G6" s="126"/>
      <c r="H6" s="126"/>
      <c r="I6" s="126"/>
      <c r="J6" s="127"/>
      <c r="K6" s="126"/>
      <c r="L6" s="126"/>
      <c r="M6" s="126"/>
      <c r="N6" s="118"/>
      <c r="O6" s="118"/>
      <c r="P6" s="118"/>
      <c r="Q6" s="118"/>
      <c r="R6" s="118"/>
    </row>
    <row r="7" spans="1:18" ht="48" thickBot="1" x14ac:dyDescent="0.4">
      <c r="A7" s="128" t="s">
        <v>63</v>
      </c>
      <c r="B7" s="129" t="s">
        <v>64</v>
      </c>
      <c r="C7" s="129" t="s">
        <v>65</v>
      </c>
      <c r="D7" s="129" t="s">
        <v>66</v>
      </c>
      <c r="E7" s="129" t="s">
        <v>67</v>
      </c>
      <c r="F7" s="130" t="str">
        <f>Directions!B34</f>
        <v>Month 1</v>
      </c>
      <c r="G7" s="130" t="str">
        <f>Directions!C34</f>
        <v>Month 2</v>
      </c>
      <c r="H7" s="130" t="str">
        <f>Directions!D34</f>
        <v>Month 3</v>
      </c>
      <c r="I7" s="130" t="str">
        <f>Directions!E34</f>
        <v>Month 4</v>
      </c>
      <c r="J7" s="130" t="str">
        <f>Directions!F34</f>
        <v>Month 5</v>
      </c>
      <c r="K7" s="130" t="str">
        <f>Directions!G34</f>
        <v>Month 6</v>
      </c>
      <c r="L7" s="130" t="str">
        <f>Directions!H34</f>
        <v>Month 7</v>
      </c>
      <c r="M7" s="130" t="str">
        <f>Directions!I34</f>
        <v>Month 8</v>
      </c>
      <c r="N7" s="130" t="str">
        <f>Directions!J34</f>
        <v>Month 9</v>
      </c>
      <c r="O7" s="130" t="str">
        <f>Directions!K34</f>
        <v>Month 10</v>
      </c>
      <c r="P7" s="130" t="str">
        <f>Directions!L34</f>
        <v>Month 11</v>
      </c>
      <c r="Q7" s="130" t="str">
        <f>Directions!M34</f>
        <v>Month 12</v>
      </c>
      <c r="R7" s="129" t="s">
        <v>68</v>
      </c>
    </row>
    <row r="8" spans="1:18" ht="16.5" thickTop="1" x14ac:dyDescent="0.35">
      <c r="A8" s="131" t="s">
        <v>69</v>
      </c>
      <c r="B8" s="132"/>
      <c r="C8" s="133"/>
      <c r="D8" s="134"/>
      <c r="E8" s="135">
        <f>(C8*D8*B8)*52/12</f>
        <v>0</v>
      </c>
      <c r="F8" s="136">
        <f>E8</f>
        <v>0</v>
      </c>
      <c r="G8" s="136">
        <f t="shared" ref="G8:Q8" si="0">F8</f>
        <v>0</v>
      </c>
      <c r="H8" s="136">
        <f t="shared" si="0"/>
        <v>0</v>
      </c>
      <c r="I8" s="136">
        <f t="shared" si="0"/>
        <v>0</v>
      </c>
      <c r="J8" s="136">
        <f t="shared" si="0"/>
        <v>0</v>
      </c>
      <c r="K8" s="136">
        <f t="shared" si="0"/>
        <v>0</v>
      </c>
      <c r="L8" s="136">
        <f t="shared" si="0"/>
        <v>0</v>
      </c>
      <c r="M8" s="136">
        <f t="shared" si="0"/>
        <v>0</v>
      </c>
      <c r="N8" s="136">
        <f t="shared" si="0"/>
        <v>0</v>
      </c>
      <c r="O8" s="136">
        <f t="shared" si="0"/>
        <v>0</v>
      </c>
      <c r="P8" s="136">
        <f t="shared" si="0"/>
        <v>0</v>
      </c>
      <c r="Q8" s="136">
        <f t="shared" si="0"/>
        <v>0</v>
      </c>
      <c r="R8" s="137">
        <f>SUM(F8:Q8)</f>
        <v>0</v>
      </c>
    </row>
    <row r="9" spans="1:18" x14ac:dyDescent="0.35">
      <c r="A9" s="138" t="s">
        <v>70</v>
      </c>
      <c r="B9" s="139"/>
      <c r="C9" s="140"/>
      <c r="D9" s="141"/>
      <c r="E9" s="142">
        <f>(C9*D9*B9)*52/12</f>
        <v>0</v>
      </c>
      <c r="F9" s="143">
        <f t="shared" ref="F9:Q11" si="1">E9</f>
        <v>0</v>
      </c>
      <c r="G9" s="143">
        <f t="shared" si="1"/>
        <v>0</v>
      </c>
      <c r="H9" s="143">
        <f t="shared" si="1"/>
        <v>0</v>
      </c>
      <c r="I9" s="143">
        <f t="shared" si="1"/>
        <v>0</v>
      </c>
      <c r="J9" s="143">
        <f t="shared" si="1"/>
        <v>0</v>
      </c>
      <c r="K9" s="143">
        <f t="shared" si="1"/>
        <v>0</v>
      </c>
      <c r="L9" s="143">
        <f t="shared" si="1"/>
        <v>0</v>
      </c>
      <c r="M9" s="143">
        <f t="shared" si="1"/>
        <v>0</v>
      </c>
      <c r="N9" s="143">
        <f t="shared" si="1"/>
        <v>0</v>
      </c>
      <c r="O9" s="143">
        <f t="shared" si="1"/>
        <v>0</v>
      </c>
      <c r="P9" s="143">
        <f t="shared" si="1"/>
        <v>0</v>
      </c>
      <c r="Q9" s="143">
        <f t="shared" si="1"/>
        <v>0</v>
      </c>
      <c r="R9" s="144">
        <f>SUM(F9:Q9)</f>
        <v>0</v>
      </c>
    </row>
    <row r="10" spans="1:18" x14ac:dyDescent="0.35">
      <c r="A10" s="138" t="s">
        <v>71</v>
      </c>
      <c r="B10" s="139"/>
      <c r="C10" s="140"/>
      <c r="D10" s="141"/>
      <c r="E10" s="142">
        <f>(C10*D10*B10)*52/12</f>
        <v>0</v>
      </c>
      <c r="F10" s="143">
        <f t="shared" si="1"/>
        <v>0</v>
      </c>
      <c r="G10" s="143">
        <f t="shared" si="1"/>
        <v>0</v>
      </c>
      <c r="H10" s="143">
        <f t="shared" si="1"/>
        <v>0</v>
      </c>
      <c r="I10" s="143">
        <f t="shared" si="1"/>
        <v>0</v>
      </c>
      <c r="J10" s="143">
        <f t="shared" si="1"/>
        <v>0</v>
      </c>
      <c r="K10" s="143">
        <f t="shared" si="1"/>
        <v>0</v>
      </c>
      <c r="L10" s="143">
        <f t="shared" si="1"/>
        <v>0</v>
      </c>
      <c r="M10" s="143">
        <f t="shared" si="1"/>
        <v>0</v>
      </c>
      <c r="N10" s="143">
        <f t="shared" si="1"/>
        <v>0</v>
      </c>
      <c r="O10" s="143">
        <f t="shared" si="1"/>
        <v>0</v>
      </c>
      <c r="P10" s="143">
        <f t="shared" si="1"/>
        <v>0</v>
      </c>
      <c r="Q10" s="143">
        <f t="shared" si="1"/>
        <v>0</v>
      </c>
      <c r="R10" s="144">
        <f>SUM(F10:Q10)</f>
        <v>0</v>
      </c>
    </row>
    <row r="11" spans="1:18" x14ac:dyDescent="0.35">
      <c r="A11" s="138" t="s">
        <v>72</v>
      </c>
      <c r="B11" s="139"/>
      <c r="C11" s="140"/>
      <c r="D11" s="141"/>
      <c r="E11" s="142">
        <f>(C11*D11*B11)*52/12</f>
        <v>0</v>
      </c>
      <c r="F11" s="143">
        <f t="shared" si="1"/>
        <v>0</v>
      </c>
      <c r="G11" s="143">
        <f t="shared" si="1"/>
        <v>0</v>
      </c>
      <c r="H11" s="143">
        <f t="shared" si="1"/>
        <v>0</v>
      </c>
      <c r="I11" s="143">
        <f t="shared" si="1"/>
        <v>0</v>
      </c>
      <c r="J11" s="143">
        <f t="shared" si="1"/>
        <v>0</v>
      </c>
      <c r="K11" s="143">
        <f t="shared" si="1"/>
        <v>0</v>
      </c>
      <c r="L11" s="143">
        <f t="shared" si="1"/>
        <v>0</v>
      </c>
      <c r="M11" s="143">
        <f t="shared" si="1"/>
        <v>0</v>
      </c>
      <c r="N11" s="143">
        <f t="shared" si="1"/>
        <v>0</v>
      </c>
      <c r="O11" s="143">
        <f t="shared" si="1"/>
        <v>0</v>
      </c>
      <c r="P11" s="143">
        <f t="shared" si="1"/>
        <v>0</v>
      </c>
      <c r="Q11" s="143">
        <f t="shared" si="1"/>
        <v>0</v>
      </c>
      <c r="R11" s="144">
        <f>SUM(F11:Q11)</f>
        <v>0</v>
      </c>
    </row>
    <row r="12" spans="1:18" x14ac:dyDescent="0.35">
      <c r="A12" s="145" t="s">
        <v>73</v>
      </c>
      <c r="B12" s="146">
        <f>SUM(B8:B11)</f>
        <v>0</v>
      </c>
      <c r="C12" s="147">
        <f t="shared" ref="C12:R12" si="2">SUM(C8:C11)</f>
        <v>0</v>
      </c>
      <c r="D12" s="148">
        <f>SUM(D8:D11)</f>
        <v>0</v>
      </c>
      <c r="E12" s="142">
        <f t="shared" si="2"/>
        <v>0</v>
      </c>
      <c r="F12" s="144">
        <f t="shared" si="2"/>
        <v>0</v>
      </c>
      <c r="G12" s="144">
        <f t="shared" si="2"/>
        <v>0</v>
      </c>
      <c r="H12" s="144">
        <f t="shared" si="2"/>
        <v>0</v>
      </c>
      <c r="I12" s="144">
        <f t="shared" si="2"/>
        <v>0</v>
      </c>
      <c r="J12" s="144">
        <f t="shared" si="2"/>
        <v>0</v>
      </c>
      <c r="K12" s="144">
        <f t="shared" si="2"/>
        <v>0</v>
      </c>
      <c r="L12" s="144">
        <f t="shared" si="2"/>
        <v>0</v>
      </c>
      <c r="M12" s="144">
        <f t="shared" si="2"/>
        <v>0</v>
      </c>
      <c r="N12" s="144">
        <f t="shared" si="2"/>
        <v>0</v>
      </c>
      <c r="O12" s="144">
        <f t="shared" si="2"/>
        <v>0</v>
      </c>
      <c r="P12" s="144">
        <f t="shared" si="2"/>
        <v>0</v>
      </c>
      <c r="Q12" s="144">
        <f t="shared" si="2"/>
        <v>0</v>
      </c>
      <c r="R12" s="144">
        <f t="shared" si="2"/>
        <v>0</v>
      </c>
    </row>
    <row r="13" spans="1:18" x14ac:dyDescent="0.35">
      <c r="A13" s="149"/>
      <c r="B13" s="149"/>
      <c r="C13" s="150"/>
      <c r="D13" s="151"/>
      <c r="E13" s="151"/>
      <c r="F13" s="151"/>
      <c r="G13" s="151"/>
      <c r="H13" s="151"/>
      <c r="I13" s="152"/>
      <c r="J13" s="152"/>
      <c r="K13" s="152"/>
      <c r="L13" s="152"/>
      <c r="M13" s="152"/>
      <c r="N13" s="152"/>
      <c r="O13" s="152"/>
      <c r="P13" s="152"/>
      <c r="Q13" s="152"/>
      <c r="R13" s="153"/>
    </row>
    <row r="14" spans="1:18" ht="48" thickBot="1" x14ac:dyDescent="0.4">
      <c r="A14" s="128" t="s">
        <v>74</v>
      </c>
      <c r="B14" s="129" t="s">
        <v>75</v>
      </c>
      <c r="C14" s="129" t="s">
        <v>76</v>
      </c>
      <c r="D14" s="129"/>
      <c r="E14" s="129" t="s">
        <v>77</v>
      </c>
      <c r="F14" s="129" t="str">
        <f>'3a-SalesForecastYear1'!C16</f>
        <v>Month 1</v>
      </c>
      <c r="G14" s="129" t="str">
        <f>'3a-SalesForecastYear1'!D16</f>
        <v>Month 2</v>
      </c>
      <c r="H14" s="129" t="str">
        <f>'3a-SalesForecastYear1'!E16</f>
        <v>Month 3</v>
      </c>
      <c r="I14" s="129" t="str">
        <f>'3a-SalesForecastYear1'!F16</f>
        <v>Month 4</v>
      </c>
      <c r="J14" s="129" t="str">
        <f>'3a-SalesForecastYear1'!G16</f>
        <v>Month 5</v>
      </c>
      <c r="K14" s="129" t="str">
        <f>'3a-SalesForecastYear1'!H16</f>
        <v>Month 6</v>
      </c>
      <c r="L14" s="129" t="str">
        <f>'3a-SalesForecastYear1'!I16</f>
        <v>Month 7</v>
      </c>
      <c r="M14" s="129" t="str">
        <f>'3a-SalesForecastYear1'!J16</f>
        <v>Month 8</v>
      </c>
      <c r="N14" s="129" t="str">
        <f>'3a-SalesForecastYear1'!K16</f>
        <v>Month 9</v>
      </c>
      <c r="O14" s="129" t="str">
        <f>'3a-SalesForecastYear1'!L16</f>
        <v>Month 10</v>
      </c>
      <c r="P14" s="129" t="str">
        <f>'3a-SalesForecastYear1'!M16</f>
        <v>Month 11</v>
      </c>
      <c r="Q14" s="129" t="str">
        <f>'3a-SalesForecastYear1'!N16</f>
        <v>Month 12</v>
      </c>
      <c r="R14" s="129" t="str">
        <f>'3a-SalesForecastYear1'!O16</f>
        <v>Annual Totals</v>
      </c>
    </row>
    <row r="15" spans="1:18" ht="16.5" thickTop="1" x14ac:dyDescent="0.35">
      <c r="A15" s="131" t="s">
        <v>78</v>
      </c>
      <c r="B15" s="135">
        <v>110111</v>
      </c>
      <c r="C15" s="154">
        <v>6.2E-2</v>
      </c>
      <c r="D15" s="155"/>
      <c r="E15" s="156">
        <f>(E$8+E$9+E$10)*$C$15</f>
        <v>0</v>
      </c>
      <c r="F15" s="136">
        <f t="shared" ref="F15:Q15" si="3">(F$8+F$9+F$10)*$C$15</f>
        <v>0</v>
      </c>
      <c r="G15" s="136">
        <f t="shared" si="3"/>
        <v>0</v>
      </c>
      <c r="H15" s="136">
        <f t="shared" si="3"/>
        <v>0</v>
      </c>
      <c r="I15" s="136">
        <f t="shared" si="3"/>
        <v>0</v>
      </c>
      <c r="J15" s="136">
        <f t="shared" si="3"/>
        <v>0</v>
      </c>
      <c r="K15" s="136">
        <f t="shared" si="3"/>
        <v>0</v>
      </c>
      <c r="L15" s="136">
        <f t="shared" si="3"/>
        <v>0</v>
      </c>
      <c r="M15" s="136">
        <f t="shared" si="3"/>
        <v>0</v>
      </c>
      <c r="N15" s="136">
        <f t="shared" si="3"/>
        <v>0</v>
      </c>
      <c r="O15" s="136">
        <f t="shared" si="3"/>
        <v>0</v>
      </c>
      <c r="P15" s="136">
        <f t="shared" si="3"/>
        <v>0</v>
      </c>
      <c r="Q15" s="136">
        <f t="shared" si="3"/>
        <v>0</v>
      </c>
      <c r="R15" s="137">
        <f>SUM(F15:Q15)</f>
        <v>0</v>
      </c>
    </row>
    <row r="16" spans="1:18" x14ac:dyDescent="0.35">
      <c r="A16" s="138" t="s">
        <v>79</v>
      </c>
      <c r="B16" s="157" t="s">
        <v>80</v>
      </c>
      <c r="C16" s="158">
        <v>1.4500000000000001E-2</v>
      </c>
      <c r="D16" s="159"/>
      <c r="E16" s="160">
        <f>(E$8+E$9+E$10)*$C$16</f>
        <v>0</v>
      </c>
      <c r="F16" s="143">
        <f>(F$8+F$9+F$10)*$C$16</f>
        <v>0</v>
      </c>
      <c r="G16" s="143">
        <f t="shared" ref="G16:Q16" si="4">(G$8+G$9+G$10)*$C$16</f>
        <v>0</v>
      </c>
      <c r="H16" s="143">
        <f t="shared" si="4"/>
        <v>0</v>
      </c>
      <c r="I16" s="143">
        <f t="shared" si="4"/>
        <v>0</v>
      </c>
      <c r="J16" s="143">
        <f t="shared" si="4"/>
        <v>0</v>
      </c>
      <c r="K16" s="143">
        <f t="shared" si="4"/>
        <v>0</v>
      </c>
      <c r="L16" s="143">
        <f t="shared" si="4"/>
        <v>0</v>
      </c>
      <c r="M16" s="143">
        <f t="shared" si="4"/>
        <v>0</v>
      </c>
      <c r="N16" s="143">
        <f t="shared" si="4"/>
        <v>0</v>
      </c>
      <c r="O16" s="143">
        <f t="shared" si="4"/>
        <v>0</v>
      </c>
      <c r="P16" s="143">
        <f t="shared" si="4"/>
        <v>0</v>
      </c>
      <c r="Q16" s="143">
        <f t="shared" si="4"/>
        <v>0</v>
      </c>
      <c r="R16" s="144">
        <f t="shared" ref="R16:R22" si="5">SUM(F16:Q16)</f>
        <v>0</v>
      </c>
    </row>
    <row r="17" spans="1:18" x14ac:dyDescent="0.35">
      <c r="A17" s="138" t="s">
        <v>81</v>
      </c>
      <c r="B17" s="161">
        <v>7000</v>
      </c>
      <c r="C17" s="158">
        <v>8.0000000000000002E-3</v>
      </c>
      <c r="D17" s="159"/>
      <c r="E17" s="160">
        <f>+$B$12*B17*C17/12</f>
        <v>0</v>
      </c>
      <c r="F17" s="143">
        <f t="shared" ref="F17:Q22" si="6">E17</f>
        <v>0</v>
      </c>
      <c r="G17" s="143">
        <f t="shared" si="6"/>
        <v>0</v>
      </c>
      <c r="H17" s="143">
        <f t="shared" si="6"/>
        <v>0</v>
      </c>
      <c r="I17" s="143">
        <f t="shared" si="6"/>
        <v>0</v>
      </c>
      <c r="J17" s="143">
        <f t="shared" si="6"/>
        <v>0</v>
      </c>
      <c r="K17" s="143">
        <f t="shared" si="6"/>
        <v>0</v>
      </c>
      <c r="L17" s="143">
        <f t="shared" si="6"/>
        <v>0</v>
      </c>
      <c r="M17" s="143">
        <f t="shared" si="6"/>
        <v>0</v>
      </c>
      <c r="N17" s="143">
        <f t="shared" si="6"/>
        <v>0</v>
      </c>
      <c r="O17" s="143">
        <f t="shared" si="6"/>
        <v>0</v>
      </c>
      <c r="P17" s="143">
        <f t="shared" si="6"/>
        <v>0</v>
      </c>
      <c r="Q17" s="143">
        <f t="shared" si="6"/>
        <v>0</v>
      </c>
      <c r="R17" s="144">
        <f t="shared" si="5"/>
        <v>0</v>
      </c>
    </row>
    <row r="18" spans="1:18" x14ac:dyDescent="0.35">
      <c r="A18" s="138" t="s">
        <v>82</v>
      </c>
      <c r="B18" s="161">
        <v>7000</v>
      </c>
      <c r="C18" s="158">
        <v>3.4500000000000003E-2</v>
      </c>
      <c r="D18" s="159"/>
      <c r="E18" s="160">
        <f>+$B$12*B18*C18/12</f>
        <v>0</v>
      </c>
      <c r="F18" s="143">
        <f t="shared" si="6"/>
        <v>0</v>
      </c>
      <c r="G18" s="143">
        <f t="shared" si="6"/>
        <v>0</v>
      </c>
      <c r="H18" s="143">
        <f t="shared" si="6"/>
        <v>0</v>
      </c>
      <c r="I18" s="143">
        <f t="shared" si="6"/>
        <v>0</v>
      </c>
      <c r="J18" s="143">
        <f t="shared" si="6"/>
        <v>0</v>
      </c>
      <c r="K18" s="143">
        <f t="shared" si="6"/>
        <v>0</v>
      </c>
      <c r="L18" s="143">
        <f t="shared" si="6"/>
        <v>0</v>
      </c>
      <c r="M18" s="143">
        <f t="shared" si="6"/>
        <v>0</v>
      </c>
      <c r="N18" s="143">
        <f t="shared" si="6"/>
        <v>0</v>
      </c>
      <c r="O18" s="143">
        <f t="shared" si="6"/>
        <v>0</v>
      </c>
      <c r="P18" s="143">
        <f t="shared" si="6"/>
        <v>0</v>
      </c>
      <c r="Q18" s="143">
        <f t="shared" si="6"/>
        <v>0</v>
      </c>
      <c r="R18" s="144">
        <f t="shared" si="5"/>
        <v>0</v>
      </c>
    </row>
    <row r="19" spans="1:18" x14ac:dyDescent="0.35">
      <c r="A19" s="138" t="s">
        <v>83</v>
      </c>
      <c r="B19" s="157" t="s">
        <v>80</v>
      </c>
      <c r="C19" s="158">
        <v>0</v>
      </c>
      <c r="D19" s="159"/>
      <c r="E19" s="160">
        <f>($E$8+$E$9+$E$10)*C19</f>
        <v>0</v>
      </c>
      <c r="F19" s="143">
        <f t="shared" si="6"/>
        <v>0</v>
      </c>
      <c r="G19" s="143">
        <f t="shared" si="6"/>
        <v>0</v>
      </c>
      <c r="H19" s="143">
        <f t="shared" si="6"/>
        <v>0</v>
      </c>
      <c r="I19" s="143">
        <f t="shared" si="6"/>
        <v>0</v>
      </c>
      <c r="J19" s="143">
        <f t="shared" si="6"/>
        <v>0</v>
      </c>
      <c r="K19" s="143">
        <f t="shared" si="6"/>
        <v>0</v>
      </c>
      <c r="L19" s="143">
        <f t="shared" si="6"/>
        <v>0</v>
      </c>
      <c r="M19" s="143">
        <f t="shared" si="6"/>
        <v>0</v>
      </c>
      <c r="N19" s="143">
        <f t="shared" si="6"/>
        <v>0</v>
      </c>
      <c r="O19" s="143">
        <f t="shared" si="6"/>
        <v>0</v>
      </c>
      <c r="P19" s="143">
        <f t="shared" si="6"/>
        <v>0</v>
      </c>
      <c r="Q19" s="143">
        <f t="shared" si="6"/>
        <v>0</v>
      </c>
      <c r="R19" s="144">
        <f t="shared" si="5"/>
        <v>0</v>
      </c>
    </row>
    <row r="20" spans="1:18" x14ac:dyDescent="0.35">
      <c r="A20" s="138" t="s">
        <v>84</v>
      </c>
      <c r="B20" s="157" t="s">
        <v>80</v>
      </c>
      <c r="C20" s="158">
        <v>0</v>
      </c>
      <c r="D20" s="162"/>
      <c r="E20" s="160">
        <f>($E$8+$E$9+$E$10)*C20</f>
        <v>0</v>
      </c>
      <c r="F20" s="143">
        <f t="shared" si="6"/>
        <v>0</v>
      </c>
      <c r="G20" s="143">
        <f t="shared" si="6"/>
        <v>0</v>
      </c>
      <c r="H20" s="143">
        <f t="shared" si="6"/>
        <v>0</v>
      </c>
      <c r="I20" s="143">
        <f t="shared" si="6"/>
        <v>0</v>
      </c>
      <c r="J20" s="143">
        <f t="shared" si="6"/>
        <v>0</v>
      </c>
      <c r="K20" s="143">
        <f t="shared" si="6"/>
        <v>0</v>
      </c>
      <c r="L20" s="143">
        <f t="shared" si="6"/>
        <v>0</v>
      </c>
      <c r="M20" s="143">
        <f t="shared" si="6"/>
        <v>0</v>
      </c>
      <c r="N20" s="143">
        <f t="shared" si="6"/>
        <v>0</v>
      </c>
      <c r="O20" s="143">
        <f t="shared" si="6"/>
        <v>0</v>
      </c>
      <c r="P20" s="143">
        <f t="shared" si="6"/>
        <v>0</v>
      </c>
      <c r="Q20" s="143">
        <f t="shared" si="6"/>
        <v>0</v>
      </c>
      <c r="R20" s="144">
        <f t="shared" si="5"/>
        <v>0</v>
      </c>
    </row>
    <row r="21" spans="1:18" x14ac:dyDescent="0.35">
      <c r="A21" s="138" t="s">
        <v>85</v>
      </c>
      <c r="B21" s="157" t="s">
        <v>80</v>
      </c>
      <c r="C21" s="158">
        <v>0</v>
      </c>
      <c r="D21" s="162"/>
      <c r="E21" s="160">
        <f>($E$8+$E$9+$E$10)*C21</f>
        <v>0</v>
      </c>
      <c r="F21" s="143">
        <f t="shared" si="6"/>
        <v>0</v>
      </c>
      <c r="G21" s="143">
        <f t="shared" si="6"/>
        <v>0</v>
      </c>
      <c r="H21" s="143">
        <f t="shared" si="6"/>
        <v>0</v>
      </c>
      <c r="I21" s="143">
        <f t="shared" si="6"/>
        <v>0</v>
      </c>
      <c r="J21" s="143">
        <f t="shared" si="6"/>
        <v>0</v>
      </c>
      <c r="K21" s="143">
        <f t="shared" si="6"/>
        <v>0</v>
      </c>
      <c r="L21" s="143">
        <f t="shared" si="6"/>
        <v>0</v>
      </c>
      <c r="M21" s="143">
        <f t="shared" si="6"/>
        <v>0</v>
      </c>
      <c r="N21" s="143">
        <f t="shared" si="6"/>
        <v>0</v>
      </c>
      <c r="O21" s="143">
        <f t="shared" si="6"/>
        <v>0</v>
      </c>
      <c r="P21" s="143">
        <f t="shared" si="6"/>
        <v>0</v>
      </c>
      <c r="Q21" s="143">
        <f t="shared" si="6"/>
        <v>0</v>
      </c>
      <c r="R21" s="144">
        <f t="shared" si="5"/>
        <v>0</v>
      </c>
    </row>
    <row r="22" spans="1:18" x14ac:dyDescent="0.35">
      <c r="A22" s="138" t="s">
        <v>86</v>
      </c>
      <c r="B22" s="157" t="s">
        <v>80</v>
      </c>
      <c r="C22" s="158">
        <v>0</v>
      </c>
      <c r="D22" s="162"/>
      <c r="E22" s="160">
        <f>($E$8+$E$9+$E$10)*C22</f>
        <v>0</v>
      </c>
      <c r="F22" s="143">
        <f t="shared" si="6"/>
        <v>0</v>
      </c>
      <c r="G22" s="143">
        <f t="shared" si="6"/>
        <v>0</v>
      </c>
      <c r="H22" s="143">
        <f t="shared" si="6"/>
        <v>0</v>
      </c>
      <c r="I22" s="143">
        <f t="shared" si="6"/>
        <v>0</v>
      </c>
      <c r="J22" s="143">
        <f t="shared" si="6"/>
        <v>0</v>
      </c>
      <c r="K22" s="143">
        <f t="shared" si="6"/>
        <v>0</v>
      </c>
      <c r="L22" s="143">
        <f t="shared" si="6"/>
        <v>0</v>
      </c>
      <c r="M22" s="143">
        <f t="shared" si="6"/>
        <v>0</v>
      </c>
      <c r="N22" s="143">
        <f t="shared" si="6"/>
        <v>0</v>
      </c>
      <c r="O22" s="143">
        <f t="shared" si="6"/>
        <v>0</v>
      </c>
      <c r="P22" s="143">
        <f t="shared" si="6"/>
        <v>0</v>
      </c>
      <c r="Q22" s="143">
        <f t="shared" si="6"/>
        <v>0</v>
      </c>
      <c r="R22" s="144">
        <f t="shared" si="5"/>
        <v>0</v>
      </c>
    </row>
    <row r="23" spans="1:18" x14ac:dyDescent="0.35">
      <c r="A23" s="145" t="s">
        <v>87</v>
      </c>
      <c r="B23" s="145"/>
      <c r="C23" s="163">
        <f>SUM(C15:C22)</f>
        <v>0.11899999999999999</v>
      </c>
      <c r="D23" s="138"/>
      <c r="E23" s="142">
        <f>SUM(E15:E22)</f>
        <v>0</v>
      </c>
      <c r="F23" s="142">
        <f>SUM(F15:F22)</f>
        <v>0</v>
      </c>
      <c r="G23" s="142">
        <f t="shared" ref="G23:R23" si="7">SUM(G15:G22)</f>
        <v>0</v>
      </c>
      <c r="H23" s="142">
        <f t="shared" si="7"/>
        <v>0</v>
      </c>
      <c r="I23" s="142">
        <f t="shared" si="7"/>
        <v>0</v>
      </c>
      <c r="J23" s="142">
        <f t="shared" si="7"/>
        <v>0</v>
      </c>
      <c r="K23" s="142">
        <f t="shared" si="7"/>
        <v>0</v>
      </c>
      <c r="L23" s="142">
        <f t="shared" si="7"/>
        <v>0</v>
      </c>
      <c r="M23" s="142">
        <f t="shared" si="7"/>
        <v>0</v>
      </c>
      <c r="N23" s="142">
        <f t="shared" si="7"/>
        <v>0</v>
      </c>
      <c r="O23" s="142">
        <f t="shared" si="7"/>
        <v>0</v>
      </c>
      <c r="P23" s="142">
        <f t="shared" si="7"/>
        <v>0</v>
      </c>
      <c r="Q23" s="142">
        <f t="shared" si="7"/>
        <v>0</v>
      </c>
      <c r="R23" s="142">
        <f t="shared" si="7"/>
        <v>0</v>
      </c>
    </row>
    <row r="24" spans="1:18" x14ac:dyDescent="0.35">
      <c r="A24" s="145"/>
      <c r="B24" s="145"/>
      <c r="C24" s="164"/>
      <c r="D24" s="138"/>
      <c r="E24" s="138"/>
      <c r="F24" s="138"/>
      <c r="G24" s="138"/>
      <c r="H24" s="138"/>
      <c r="I24" s="138"/>
      <c r="J24" s="138"/>
      <c r="K24" s="138"/>
      <c r="L24" s="138"/>
      <c r="M24" s="138"/>
      <c r="N24" s="138"/>
      <c r="O24" s="138"/>
      <c r="P24" s="138"/>
      <c r="Q24" s="138"/>
      <c r="R24" s="138"/>
    </row>
    <row r="25" spans="1:18" x14ac:dyDescent="0.35">
      <c r="A25" s="145" t="s">
        <v>88</v>
      </c>
      <c r="B25" s="145"/>
      <c r="C25" s="164"/>
      <c r="D25" s="138"/>
      <c r="E25" s="142">
        <f>E12+E23</f>
        <v>0</v>
      </c>
      <c r="F25" s="142">
        <f t="shared" ref="F25:Q25" si="8">F12+F23</f>
        <v>0</v>
      </c>
      <c r="G25" s="142">
        <f t="shared" si="8"/>
        <v>0</v>
      </c>
      <c r="H25" s="142">
        <f t="shared" si="8"/>
        <v>0</v>
      </c>
      <c r="I25" s="142">
        <f t="shared" si="8"/>
        <v>0</v>
      </c>
      <c r="J25" s="142">
        <f t="shared" si="8"/>
        <v>0</v>
      </c>
      <c r="K25" s="142">
        <f t="shared" si="8"/>
        <v>0</v>
      </c>
      <c r="L25" s="142">
        <f t="shared" si="8"/>
        <v>0</v>
      </c>
      <c r="M25" s="142">
        <f t="shared" si="8"/>
        <v>0</v>
      </c>
      <c r="N25" s="142">
        <f t="shared" si="8"/>
        <v>0</v>
      </c>
      <c r="O25" s="142">
        <f t="shared" si="8"/>
        <v>0</v>
      </c>
      <c r="P25" s="142">
        <f t="shared" si="8"/>
        <v>0</v>
      </c>
      <c r="Q25" s="142">
        <f t="shared" si="8"/>
        <v>0</v>
      </c>
      <c r="R25" s="165">
        <f>R12+R23</f>
        <v>0</v>
      </c>
    </row>
    <row r="26" spans="1:18" s="118" customFormat="1" x14ac:dyDescent="0.35"/>
    <row r="28" spans="1:18" x14ac:dyDescent="0.35">
      <c r="A28" s="119"/>
      <c r="B28" s="119"/>
      <c r="C28" s="119"/>
    </row>
    <row r="29" spans="1:18" x14ac:dyDescent="0.35">
      <c r="A29" s="166"/>
      <c r="B29" s="166"/>
      <c r="C29" s="166"/>
    </row>
    <row r="30" spans="1:18" x14ac:dyDescent="0.35">
      <c r="A30" s="167"/>
      <c r="B30" s="168"/>
      <c r="C30" s="168"/>
    </row>
    <row r="31" spans="1:18" x14ac:dyDescent="0.35">
      <c r="A31" s="167"/>
      <c r="B31" s="169"/>
      <c r="C31" s="169"/>
    </row>
    <row r="32" spans="1:18" x14ac:dyDescent="0.35">
      <c r="A32" s="119"/>
      <c r="B32" s="119"/>
      <c r="C32" s="119"/>
    </row>
  </sheetData>
  <sheetProtection formatColumns="0" formatRows="0"/>
  <conditionalFormatting sqref="B8:D11">
    <cfRule type="containsBlanks" dxfId="69" priority="7" stopIfTrue="1">
      <formula>LEN(TRIM(B8))=0</formula>
    </cfRule>
  </conditionalFormatting>
  <conditionalFormatting sqref="F8:Q11">
    <cfRule type="containsBlanks" dxfId="68" priority="6" stopIfTrue="1">
      <formula>LEN(TRIM(F8))=0</formula>
    </cfRule>
  </conditionalFormatting>
  <conditionalFormatting sqref="F15:Q22">
    <cfRule type="containsBlanks" dxfId="67" priority="5">
      <formula>LEN(TRIM(F15))=0</formula>
    </cfRule>
  </conditionalFormatting>
  <conditionalFormatting sqref="F16:Q16">
    <cfRule type="containsBlanks" dxfId="66" priority="4">
      <formula>LEN(TRIM(F16))=0</formula>
    </cfRule>
  </conditionalFormatting>
  <conditionalFormatting sqref="F15:Q15">
    <cfRule type="containsBlanks" dxfId="65" priority="3">
      <formula>LEN(TRIM(F15))=0</formula>
    </cfRule>
  </conditionalFormatting>
  <conditionalFormatting sqref="F16">
    <cfRule type="containsBlanks" dxfId="64" priority="2">
      <formula>LEN(TRIM(F16))=0</formula>
    </cfRule>
  </conditionalFormatting>
  <conditionalFormatting sqref="G16:Q16">
    <cfRule type="containsBlanks" dxfId="63" priority="1">
      <formula>LEN(TRIM(G16))=0</formula>
    </cfRule>
  </conditionalFormatting>
  <printOptions horizontalCentered="1"/>
  <pageMargins left="0.25" right="0.25" top="0.75" bottom="0.75" header="0.3" footer="0.3"/>
  <pageSetup scale="61" orientation="landscape" r:id="rId1"/>
  <headerFooter scaleWithDoc="0">
    <oddHeader>&amp;C&amp;"Gill Sans MT,Regular"&amp;12Payroll Year 1</oddHeader>
    <oddFooter>&amp;L&amp;"Gill Sans MT,Regular"&amp;12&amp;F&amp;C&amp;"Gill Sans MT,Regular"&amp;12&amp;A&amp;R&amp;"Gill Sans MT,Regular"&amp;12&amp;D &amp;T</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AC47"/>
  <sheetViews>
    <sheetView topLeftCell="A4" zoomScaleNormal="100" workbookViewId="0">
      <selection activeCell="J32" sqref="J32"/>
    </sheetView>
  </sheetViews>
  <sheetFormatPr defaultColWidth="9.125" defaultRowHeight="15.75" x14ac:dyDescent="0.35"/>
  <cols>
    <col min="1" max="1" width="7" style="170" customWidth="1"/>
    <col min="2" max="2" width="38" style="170" bestFit="1" customWidth="1"/>
    <col min="3" max="3" width="11.25" style="170" bestFit="1" customWidth="1"/>
    <col min="4" max="4" width="15.75" style="170" bestFit="1" customWidth="1"/>
    <col min="5" max="5" width="10.75" style="170" bestFit="1" customWidth="1"/>
    <col min="6" max="6" width="15.75" style="170" bestFit="1" customWidth="1"/>
    <col min="7" max="7" width="9.375" style="170" bestFit="1" customWidth="1"/>
    <col min="8" max="8" width="5.125" style="170" customWidth="1"/>
    <col min="9" max="9" width="5.375" style="170" customWidth="1"/>
    <col min="10" max="10" width="4.75" style="170" customWidth="1"/>
    <col min="11" max="11" width="8.125" style="170" customWidth="1"/>
    <col min="12" max="12" width="12.125" style="170" customWidth="1"/>
    <col min="13" max="13" width="9.625" style="170" customWidth="1"/>
    <col min="14" max="14" width="11.875" style="170" customWidth="1"/>
    <col min="15" max="15" width="11.625" style="170" customWidth="1"/>
    <col min="16" max="16" width="14.375" style="170" customWidth="1"/>
    <col min="17" max="17" width="8.75" style="170" customWidth="1"/>
    <col min="18" max="18" width="10.25" style="170" customWidth="1"/>
    <col min="19" max="19" width="7.375" style="170" customWidth="1"/>
    <col min="20" max="20" width="6.125" style="170" customWidth="1"/>
    <col min="21" max="21" width="5.125" style="170" customWidth="1"/>
    <col min="22" max="22" width="5.375" style="170" customWidth="1"/>
    <col min="23" max="23" width="4.75" style="170" customWidth="1"/>
    <col min="24" max="24" width="8.125" style="170" customWidth="1"/>
    <col min="25" max="25" width="12.125" style="170" customWidth="1"/>
    <col min="26" max="26" width="9.625" style="170" customWidth="1"/>
    <col min="27" max="27" width="11.875" style="170" customWidth="1"/>
    <col min="28" max="28" width="11.625" style="170" customWidth="1"/>
    <col min="29" max="29" width="14.375" style="170" customWidth="1"/>
    <col min="30" max="256" width="9.125" style="170"/>
    <col min="257" max="257" width="7" style="170" customWidth="1"/>
    <col min="258" max="258" width="38" style="170" bestFit="1" customWidth="1"/>
    <col min="259" max="259" width="11.25" style="170" bestFit="1" customWidth="1"/>
    <col min="260" max="260" width="15.75" style="170" bestFit="1" customWidth="1"/>
    <col min="261" max="261" width="10.75" style="170" bestFit="1" customWidth="1"/>
    <col min="262" max="262" width="15.75" style="170" bestFit="1" customWidth="1"/>
    <col min="263" max="263" width="9.375" style="170" bestFit="1" customWidth="1"/>
    <col min="264" max="264" width="5.125" style="170" customWidth="1"/>
    <col min="265" max="265" width="5.375" style="170" customWidth="1"/>
    <col min="266" max="266" width="4.75" style="170" customWidth="1"/>
    <col min="267" max="267" width="8.125" style="170" customWidth="1"/>
    <col min="268" max="268" width="12.125" style="170" customWidth="1"/>
    <col min="269" max="269" width="9.625" style="170" customWidth="1"/>
    <col min="270" max="270" width="11.875" style="170" customWidth="1"/>
    <col min="271" max="271" width="11.625" style="170" customWidth="1"/>
    <col min="272" max="272" width="14.375" style="170" customWidth="1"/>
    <col min="273" max="273" width="8.75" style="170" customWidth="1"/>
    <col min="274" max="274" width="10.25" style="170" customWidth="1"/>
    <col min="275" max="275" width="7.375" style="170" customWidth="1"/>
    <col min="276" max="276" width="6.125" style="170" customWidth="1"/>
    <col min="277" max="277" width="5.125" style="170" customWidth="1"/>
    <col min="278" max="278" width="5.375" style="170" customWidth="1"/>
    <col min="279" max="279" width="4.75" style="170" customWidth="1"/>
    <col min="280" max="280" width="8.125" style="170" customWidth="1"/>
    <col min="281" max="281" width="12.125" style="170" customWidth="1"/>
    <col min="282" max="282" width="9.625" style="170" customWidth="1"/>
    <col min="283" max="283" width="11.875" style="170" customWidth="1"/>
    <col min="284" max="284" width="11.625" style="170" customWidth="1"/>
    <col min="285" max="285" width="14.375" style="170" customWidth="1"/>
    <col min="286" max="512" width="9.125" style="170"/>
    <col min="513" max="513" width="7" style="170" customWidth="1"/>
    <col min="514" max="514" width="38" style="170" bestFit="1" customWidth="1"/>
    <col min="515" max="515" width="11.25" style="170" bestFit="1" customWidth="1"/>
    <col min="516" max="516" width="15.75" style="170" bestFit="1" customWidth="1"/>
    <col min="517" max="517" width="10.75" style="170" bestFit="1" customWidth="1"/>
    <col min="518" max="518" width="15.75" style="170" bestFit="1" customWidth="1"/>
    <col min="519" max="519" width="9.375" style="170" bestFit="1" customWidth="1"/>
    <col min="520" max="520" width="5.125" style="170" customWidth="1"/>
    <col min="521" max="521" width="5.375" style="170" customWidth="1"/>
    <col min="522" max="522" width="4.75" style="170" customWidth="1"/>
    <col min="523" max="523" width="8.125" style="170" customWidth="1"/>
    <col min="524" max="524" width="12.125" style="170" customWidth="1"/>
    <col min="525" max="525" width="9.625" style="170" customWidth="1"/>
    <col min="526" max="526" width="11.875" style="170" customWidth="1"/>
    <col min="527" max="527" width="11.625" style="170" customWidth="1"/>
    <col min="528" max="528" width="14.375" style="170" customWidth="1"/>
    <col min="529" max="529" width="8.75" style="170" customWidth="1"/>
    <col min="530" max="530" width="10.25" style="170" customWidth="1"/>
    <col min="531" max="531" width="7.375" style="170" customWidth="1"/>
    <col min="532" max="532" width="6.125" style="170" customWidth="1"/>
    <col min="533" max="533" width="5.125" style="170" customWidth="1"/>
    <col min="534" max="534" width="5.375" style="170" customWidth="1"/>
    <col min="535" max="535" width="4.75" style="170" customWidth="1"/>
    <col min="536" max="536" width="8.125" style="170" customWidth="1"/>
    <col min="537" max="537" width="12.125" style="170" customWidth="1"/>
    <col min="538" max="538" width="9.625" style="170" customWidth="1"/>
    <col min="539" max="539" width="11.875" style="170" customWidth="1"/>
    <col min="540" max="540" width="11.625" style="170" customWidth="1"/>
    <col min="541" max="541" width="14.375" style="170" customWidth="1"/>
    <col min="542" max="768" width="9.125" style="170"/>
    <col min="769" max="769" width="7" style="170" customWidth="1"/>
    <col min="770" max="770" width="38" style="170" bestFit="1" customWidth="1"/>
    <col min="771" max="771" width="11.25" style="170" bestFit="1" customWidth="1"/>
    <col min="772" max="772" width="15.75" style="170" bestFit="1" customWidth="1"/>
    <col min="773" max="773" width="10.75" style="170" bestFit="1" customWidth="1"/>
    <col min="774" max="774" width="15.75" style="170" bestFit="1" customWidth="1"/>
    <col min="775" max="775" width="9.375" style="170" bestFit="1" customWidth="1"/>
    <col min="776" max="776" width="5.125" style="170" customWidth="1"/>
    <col min="777" max="777" width="5.375" style="170" customWidth="1"/>
    <col min="778" max="778" width="4.75" style="170" customWidth="1"/>
    <col min="779" max="779" width="8.125" style="170" customWidth="1"/>
    <col min="780" max="780" width="12.125" style="170" customWidth="1"/>
    <col min="781" max="781" width="9.625" style="170" customWidth="1"/>
    <col min="782" max="782" width="11.875" style="170" customWidth="1"/>
    <col min="783" max="783" width="11.625" style="170" customWidth="1"/>
    <col min="784" max="784" width="14.375" style="170" customWidth="1"/>
    <col min="785" max="785" width="8.75" style="170" customWidth="1"/>
    <col min="786" max="786" width="10.25" style="170" customWidth="1"/>
    <col min="787" max="787" width="7.375" style="170" customWidth="1"/>
    <col min="788" max="788" width="6.125" style="170" customWidth="1"/>
    <col min="789" max="789" width="5.125" style="170" customWidth="1"/>
    <col min="790" max="790" width="5.375" style="170" customWidth="1"/>
    <col min="791" max="791" width="4.75" style="170" customWidth="1"/>
    <col min="792" max="792" width="8.125" style="170" customWidth="1"/>
    <col min="793" max="793" width="12.125" style="170" customWidth="1"/>
    <col min="794" max="794" width="9.625" style="170" customWidth="1"/>
    <col min="795" max="795" width="11.875" style="170" customWidth="1"/>
    <col min="796" max="796" width="11.625" style="170" customWidth="1"/>
    <col min="797" max="797" width="14.375" style="170" customWidth="1"/>
    <col min="798" max="1024" width="9.125" style="170"/>
    <col min="1025" max="1025" width="7" style="170" customWidth="1"/>
    <col min="1026" max="1026" width="38" style="170" bestFit="1" customWidth="1"/>
    <col min="1027" max="1027" width="11.25" style="170" bestFit="1" customWidth="1"/>
    <col min="1028" max="1028" width="15.75" style="170" bestFit="1" customWidth="1"/>
    <col min="1029" max="1029" width="10.75" style="170" bestFit="1" customWidth="1"/>
    <col min="1030" max="1030" width="15.75" style="170" bestFit="1" customWidth="1"/>
    <col min="1031" max="1031" width="9.375" style="170" bestFit="1" customWidth="1"/>
    <col min="1032" max="1032" width="5.125" style="170" customWidth="1"/>
    <col min="1033" max="1033" width="5.375" style="170" customWidth="1"/>
    <col min="1034" max="1034" width="4.75" style="170" customWidth="1"/>
    <col min="1035" max="1035" width="8.125" style="170" customWidth="1"/>
    <col min="1036" max="1036" width="12.125" style="170" customWidth="1"/>
    <col min="1037" max="1037" width="9.625" style="170" customWidth="1"/>
    <col min="1038" max="1038" width="11.875" style="170" customWidth="1"/>
    <col min="1039" max="1039" width="11.625" style="170" customWidth="1"/>
    <col min="1040" max="1040" width="14.375" style="170" customWidth="1"/>
    <col min="1041" max="1041" width="8.75" style="170" customWidth="1"/>
    <col min="1042" max="1042" width="10.25" style="170" customWidth="1"/>
    <col min="1043" max="1043" width="7.375" style="170" customWidth="1"/>
    <col min="1044" max="1044" width="6.125" style="170" customWidth="1"/>
    <col min="1045" max="1045" width="5.125" style="170" customWidth="1"/>
    <col min="1046" max="1046" width="5.375" style="170" customWidth="1"/>
    <col min="1047" max="1047" width="4.75" style="170" customWidth="1"/>
    <col min="1048" max="1048" width="8.125" style="170" customWidth="1"/>
    <col min="1049" max="1049" width="12.125" style="170" customWidth="1"/>
    <col min="1050" max="1050" width="9.625" style="170" customWidth="1"/>
    <col min="1051" max="1051" width="11.875" style="170" customWidth="1"/>
    <col min="1052" max="1052" width="11.625" style="170" customWidth="1"/>
    <col min="1053" max="1053" width="14.375" style="170" customWidth="1"/>
    <col min="1054" max="1280" width="9.125" style="170"/>
    <col min="1281" max="1281" width="7" style="170" customWidth="1"/>
    <col min="1282" max="1282" width="38" style="170" bestFit="1" customWidth="1"/>
    <col min="1283" max="1283" width="11.25" style="170" bestFit="1" customWidth="1"/>
    <col min="1284" max="1284" width="15.75" style="170" bestFit="1" customWidth="1"/>
    <col min="1285" max="1285" width="10.75" style="170" bestFit="1" customWidth="1"/>
    <col min="1286" max="1286" width="15.75" style="170" bestFit="1" customWidth="1"/>
    <col min="1287" max="1287" width="9.375" style="170" bestFit="1" customWidth="1"/>
    <col min="1288" max="1288" width="5.125" style="170" customWidth="1"/>
    <col min="1289" max="1289" width="5.375" style="170" customWidth="1"/>
    <col min="1290" max="1290" width="4.75" style="170" customWidth="1"/>
    <col min="1291" max="1291" width="8.125" style="170" customWidth="1"/>
    <col min="1292" max="1292" width="12.125" style="170" customWidth="1"/>
    <col min="1293" max="1293" width="9.625" style="170" customWidth="1"/>
    <col min="1294" max="1294" width="11.875" style="170" customWidth="1"/>
    <col min="1295" max="1295" width="11.625" style="170" customWidth="1"/>
    <col min="1296" max="1296" width="14.375" style="170" customWidth="1"/>
    <col min="1297" max="1297" width="8.75" style="170" customWidth="1"/>
    <col min="1298" max="1298" width="10.25" style="170" customWidth="1"/>
    <col min="1299" max="1299" width="7.375" style="170" customWidth="1"/>
    <col min="1300" max="1300" width="6.125" style="170" customWidth="1"/>
    <col min="1301" max="1301" width="5.125" style="170" customWidth="1"/>
    <col min="1302" max="1302" width="5.375" style="170" customWidth="1"/>
    <col min="1303" max="1303" width="4.75" style="170" customWidth="1"/>
    <col min="1304" max="1304" width="8.125" style="170" customWidth="1"/>
    <col min="1305" max="1305" width="12.125" style="170" customWidth="1"/>
    <col min="1306" max="1306" width="9.625" style="170" customWidth="1"/>
    <col min="1307" max="1307" width="11.875" style="170" customWidth="1"/>
    <col min="1308" max="1308" width="11.625" style="170" customWidth="1"/>
    <col min="1309" max="1309" width="14.375" style="170" customWidth="1"/>
    <col min="1310" max="1536" width="9.125" style="170"/>
    <col min="1537" max="1537" width="7" style="170" customWidth="1"/>
    <col min="1538" max="1538" width="38" style="170" bestFit="1" customWidth="1"/>
    <col min="1539" max="1539" width="11.25" style="170" bestFit="1" customWidth="1"/>
    <col min="1540" max="1540" width="15.75" style="170" bestFit="1" customWidth="1"/>
    <col min="1541" max="1541" width="10.75" style="170" bestFit="1" customWidth="1"/>
    <col min="1542" max="1542" width="15.75" style="170" bestFit="1" customWidth="1"/>
    <col min="1543" max="1543" width="9.375" style="170" bestFit="1" customWidth="1"/>
    <col min="1544" max="1544" width="5.125" style="170" customWidth="1"/>
    <col min="1545" max="1545" width="5.375" style="170" customWidth="1"/>
    <col min="1546" max="1546" width="4.75" style="170" customWidth="1"/>
    <col min="1547" max="1547" width="8.125" style="170" customWidth="1"/>
    <col min="1548" max="1548" width="12.125" style="170" customWidth="1"/>
    <col min="1549" max="1549" width="9.625" style="170" customWidth="1"/>
    <col min="1550" max="1550" width="11.875" style="170" customWidth="1"/>
    <col min="1551" max="1551" width="11.625" style="170" customWidth="1"/>
    <col min="1552" max="1552" width="14.375" style="170" customWidth="1"/>
    <col min="1553" max="1553" width="8.75" style="170" customWidth="1"/>
    <col min="1554" max="1554" width="10.25" style="170" customWidth="1"/>
    <col min="1555" max="1555" width="7.375" style="170" customWidth="1"/>
    <col min="1556" max="1556" width="6.125" style="170" customWidth="1"/>
    <col min="1557" max="1557" width="5.125" style="170" customWidth="1"/>
    <col min="1558" max="1558" width="5.375" style="170" customWidth="1"/>
    <col min="1559" max="1559" width="4.75" style="170" customWidth="1"/>
    <col min="1560" max="1560" width="8.125" style="170" customWidth="1"/>
    <col min="1561" max="1561" width="12.125" style="170" customWidth="1"/>
    <col min="1562" max="1562" width="9.625" style="170" customWidth="1"/>
    <col min="1563" max="1563" width="11.875" style="170" customWidth="1"/>
    <col min="1564" max="1564" width="11.625" style="170" customWidth="1"/>
    <col min="1565" max="1565" width="14.375" style="170" customWidth="1"/>
    <col min="1566" max="1792" width="9.125" style="170"/>
    <col min="1793" max="1793" width="7" style="170" customWidth="1"/>
    <col min="1794" max="1794" width="38" style="170" bestFit="1" customWidth="1"/>
    <col min="1795" max="1795" width="11.25" style="170" bestFit="1" customWidth="1"/>
    <col min="1796" max="1796" width="15.75" style="170" bestFit="1" customWidth="1"/>
    <col min="1797" max="1797" width="10.75" style="170" bestFit="1" customWidth="1"/>
    <col min="1798" max="1798" width="15.75" style="170" bestFit="1" customWidth="1"/>
    <col min="1799" max="1799" width="9.375" style="170" bestFit="1" customWidth="1"/>
    <col min="1800" max="1800" width="5.125" style="170" customWidth="1"/>
    <col min="1801" max="1801" width="5.375" style="170" customWidth="1"/>
    <col min="1802" max="1802" width="4.75" style="170" customWidth="1"/>
    <col min="1803" max="1803" width="8.125" style="170" customWidth="1"/>
    <col min="1804" max="1804" width="12.125" style="170" customWidth="1"/>
    <col min="1805" max="1805" width="9.625" style="170" customWidth="1"/>
    <col min="1806" max="1806" width="11.875" style="170" customWidth="1"/>
    <col min="1807" max="1807" width="11.625" style="170" customWidth="1"/>
    <col min="1808" max="1808" width="14.375" style="170" customWidth="1"/>
    <col min="1809" max="1809" width="8.75" style="170" customWidth="1"/>
    <col min="1810" max="1810" width="10.25" style="170" customWidth="1"/>
    <col min="1811" max="1811" width="7.375" style="170" customWidth="1"/>
    <col min="1812" max="1812" width="6.125" style="170" customWidth="1"/>
    <col min="1813" max="1813" width="5.125" style="170" customWidth="1"/>
    <col min="1814" max="1814" width="5.375" style="170" customWidth="1"/>
    <col min="1815" max="1815" width="4.75" style="170" customWidth="1"/>
    <col min="1816" max="1816" width="8.125" style="170" customWidth="1"/>
    <col min="1817" max="1817" width="12.125" style="170" customWidth="1"/>
    <col min="1818" max="1818" width="9.625" style="170" customWidth="1"/>
    <col min="1819" max="1819" width="11.875" style="170" customWidth="1"/>
    <col min="1820" max="1820" width="11.625" style="170" customWidth="1"/>
    <col min="1821" max="1821" width="14.375" style="170" customWidth="1"/>
    <col min="1822" max="2048" width="9.125" style="170"/>
    <col min="2049" max="2049" width="7" style="170" customWidth="1"/>
    <col min="2050" max="2050" width="38" style="170" bestFit="1" customWidth="1"/>
    <col min="2051" max="2051" width="11.25" style="170" bestFit="1" customWidth="1"/>
    <col min="2052" max="2052" width="15.75" style="170" bestFit="1" customWidth="1"/>
    <col min="2053" max="2053" width="10.75" style="170" bestFit="1" customWidth="1"/>
    <col min="2054" max="2054" width="15.75" style="170" bestFit="1" customWidth="1"/>
    <col min="2055" max="2055" width="9.375" style="170" bestFit="1" customWidth="1"/>
    <col min="2056" max="2056" width="5.125" style="170" customWidth="1"/>
    <col min="2057" max="2057" width="5.375" style="170" customWidth="1"/>
    <col min="2058" max="2058" width="4.75" style="170" customWidth="1"/>
    <col min="2059" max="2059" width="8.125" style="170" customWidth="1"/>
    <col min="2060" max="2060" width="12.125" style="170" customWidth="1"/>
    <col min="2061" max="2061" width="9.625" style="170" customWidth="1"/>
    <col min="2062" max="2062" width="11.875" style="170" customWidth="1"/>
    <col min="2063" max="2063" width="11.625" style="170" customWidth="1"/>
    <col min="2064" max="2064" width="14.375" style="170" customWidth="1"/>
    <col min="2065" max="2065" width="8.75" style="170" customWidth="1"/>
    <col min="2066" max="2066" width="10.25" style="170" customWidth="1"/>
    <col min="2067" max="2067" width="7.375" style="170" customWidth="1"/>
    <col min="2068" max="2068" width="6.125" style="170" customWidth="1"/>
    <col min="2069" max="2069" width="5.125" style="170" customWidth="1"/>
    <col min="2070" max="2070" width="5.375" style="170" customWidth="1"/>
    <col min="2071" max="2071" width="4.75" style="170" customWidth="1"/>
    <col min="2072" max="2072" width="8.125" style="170" customWidth="1"/>
    <col min="2073" max="2073" width="12.125" style="170" customWidth="1"/>
    <col min="2074" max="2074" width="9.625" style="170" customWidth="1"/>
    <col min="2075" max="2075" width="11.875" style="170" customWidth="1"/>
    <col min="2076" max="2076" width="11.625" style="170" customWidth="1"/>
    <col min="2077" max="2077" width="14.375" style="170" customWidth="1"/>
    <col min="2078" max="2304" width="9.125" style="170"/>
    <col min="2305" max="2305" width="7" style="170" customWidth="1"/>
    <col min="2306" max="2306" width="38" style="170" bestFit="1" customWidth="1"/>
    <col min="2307" max="2307" width="11.25" style="170" bestFit="1" customWidth="1"/>
    <col min="2308" max="2308" width="15.75" style="170" bestFit="1" customWidth="1"/>
    <col min="2309" max="2309" width="10.75" style="170" bestFit="1" customWidth="1"/>
    <col min="2310" max="2310" width="15.75" style="170" bestFit="1" customWidth="1"/>
    <col min="2311" max="2311" width="9.375" style="170" bestFit="1" customWidth="1"/>
    <col min="2312" max="2312" width="5.125" style="170" customWidth="1"/>
    <col min="2313" max="2313" width="5.375" style="170" customWidth="1"/>
    <col min="2314" max="2314" width="4.75" style="170" customWidth="1"/>
    <col min="2315" max="2315" width="8.125" style="170" customWidth="1"/>
    <col min="2316" max="2316" width="12.125" style="170" customWidth="1"/>
    <col min="2317" max="2317" width="9.625" style="170" customWidth="1"/>
    <col min="2318" max="2318" width="11.875" style="170" customWidth="1"/>
    <col min="2319" max="2319" width="11.625" style="170" customWidth="1"/>
    <col min="2320" max="2320" width="14.375" style="170" customWidth="1"/>
    <col min="2321" max="2321" width="8.75" style="170" customWidth="1"/>
    <col min="2322" max="2322" width="10.25" style="170" customWidth="1"/>
    <col min="2323" max="2323" width="7.375" style="170" customWidth="1"/>
    <col min="2324" max="2324" width="6.125" style="170" customWidth="1"/>
    <col min="2325" max="2325" width="5.125" style="170" customWidth="1"/>
    <col min="2326" max="2326" width="5.375" style="170" customWidth="1"/>
    <col min="2327" max="2327" width="4.75" style="170" customWidth="1"/>
    <col min="2328" max="2328" width="8.125" style="170" customWidth="1"/>
    <col min="2329" max="2329" width="12.125" style="170" customWidth="1"/>
    <col min="2330" max="2330" width="9.625" style="170" customWidth="1"/>
    <col min="2331" max="2331" width="11.875" style="170" customWidth="1"/>
    <col min="2332" max="2332" width="11.625" style="170" customWidth="1"/>
    <col min="2333" max="2333" width="14.375" style="170" customWidth="1"/>
    <col min="2334" max="2560" width="9.125" style="170"/>
    <col min="2561" max="2561" width="7" style="170" customWidth="1"/>
    <col min="2562" max="2562" width="38" style="170" bestFit="1" customWidth="1"/>
    <col min="2563" max="2563" width="11.25" style="170" bestFit="1" customWidth="1"/>
    <col min="2564" max="2564" width="15.75" style="170" bestFit="1" customWidth="1"/>
    <col min="2565" max="2565" width="10.75" style="170" bestFit="1" customWidth="1"/>
    <col min="2566" max="2566" width="15.75" style="170" bestFit="1" customWidth="1"/>
    <col min="2567" max="2567" width="9.375" style="170" bestFit="1" customWidth="1"/>
    <col min="2568" max="2568" width="5.125" style="170" customWidth="1"/>
    <col min="2569" max="2569" width="5.375" style="170" customWidth="1"/>
    <col min="2570" max="2570" width="4.75" style="170" customWidth="1"/>
    <col min="2571" max="2571" width="8.125" style="170" customWidth="1"/>
    <col min="2572" max="2572" width="12.125" style="170" customWidth="1"/>
    <col min="2573" max="2573" width="9.625" style="170" customWidth="1"/>
    <col min="2574" max="2574" width="11.875" style="170" customWidth="1"/>
    <col min="2575" max="2575" width="11.625" style="170" customWidth="1"/>
    <col min="2576" max="2576" width="14.375" style="170" customWidth="1"/>
    <col min="2577" max="2577" width="8.75" style="170" customWidth="1"/>
    <col min="2578" max="2578" width="10.25" style="170" customWidth="1"/>
    <col min="2579" max="2579" width="7.375" style="170" customWidth="1"/>
    <col min="2580" max="2580" width="6.125" style="170" customWidth="1"/>
    <col min="2581" max="2581" width="5.125" style="170" customWidth="1"/>
    <col min="2582" max="2582" width="5.375" style="170" customWidth="1"/>
    <col min="2583" max="2583" width="4.75" style="170" customWidth="1"/>
    <col min="2584" max="2584" width="8.125" style="170" customWidth="1"/>
    <col min="2585" max="2585" width="12.125" style="170" customWidth="1"/>
    <col min="2586" max="2586" width="9.625" style="170" customWidth="1"/>
    <col min="2587" max="2587" width="11.875" style="170" customWidth="1"/>
    <col min="2588" max="2588" width="11.625" style="170" customWidth="1"/>
    <col min="2589" max="2589" width="14.375" style="170" customWidth="1"/>
    <col min="2590" max="2816" width="9.125" style="170"/>
    <col min="2817" max="2817" width="7" style="170" customWidth="1"/>
    <col min="2818" max="2818" width="38" style="170" bestFit="1" customWidth="1"/>
    <col min="2819" max="2819" width="11.25" style="170" bestFit="1" customWidth="1"/>
    <col min="2820" max="2820" width="15.75" style="170" bestFit="1" customWidth="1"/>
    <col min="2821" max="2821" width="10.75" style="170" bestFit="1" customWidth="1"/>
    <col min="2822" max="2822" width="15.75" style="170" bestFit="1" customWidth="1"/>
    <col min="2823" max="2823" width="9.375" style="170" bestFit="1" customWidth="1"/>
    <col min="2824" max="2824" width="5.125" style="170" customWidth="1"/>
    <col min="2825" max="2825" width="5.375" style="170" customWidth="1"/>
    <col min="2826" max="2826" width="4.75" style="170" customWidth="1"/>
    <col min="2827" max="2827" width="8.125" style="170" customWidth="1"/>
    <col min="2828" max="2828" width="12.125" style="170" customWidth="1"/>
    <col min="2829" max="2829" width="9.625" style="170" customWidth="1"/>
    <col min="2830" max="2830" width="11.875" style="170" customWidth="1"/>
    <col min="2831" max="2831" width="11.625" style="170" customWidth="1"/>
    <col min="2832" max="2832" width="14.375" style="170" customWidth="1"/>
    <col min="2833" max="2833" width="8.75" style="170" customWidth="1"/>
    <col min="2834" max="2834" width="10.25" style="170" customWidth="1"/>
    <col min="2835" max="2835" width="7.375" style="170" customWidth="1"/>
    <col min="2836" max="2836" width="6.125" style="170" customWidth="1"/>
    <col min="2837" max="2837" width="5.125" style="170" customWidth="1"/>
    <col min="2838" max="2838" width="5.375" style="170" customWidth="1"/>
    <col min="2839" max="2839" width="4.75" style="170" customWidth="1"/>
    <col min="2840" max="2840" width="8.125" style="170" customWidth="1"/>
    <col min="2841" max="2841" width="12.125" style="170" customWidth="1"/>
    <col min="2842" max="2842" width="9.625" style="170" customWidth="1"/>
    <col min="2843" max="2843" width="11.875" style="170" customWidth="1"/>
    <col min="2844" max="2844" width="11.625" style="170" customWidth="1"/>
    <col min="2845" max="2845" width="14.375" style="170" customWidth="1"/>
    <col min="2846" max="3072" width="9.125" style="170"/>
    <col min="3073" max="3073" width="7" style="170" customWidth="1"/>
    <col min="3074" max="3074" width="38" style="170" bestFit="1" customWidth="1"/>
    <col min="3075" max="3075" width="11.25" style="170" bestFit="1" customWidth="1"/>
    <col min="3076" max="3076" width="15.75" style="170" bestFit="1" customWidth="1"/>
    <col min="3077" max="3077" width="10.75" style="170" bestFit="1" customWidth="1"/>
    <col min="3078" max="3078" width="15.75" style="170" bestFit="1" customWidth="1"/>
    <col min="3079" max="3079" width="9.375" style="170" bestFit="1" customWidth="1"/>
    <col min="3080" max="3080" width="5.125" style="170" customWidth="1"/>
    <col min="3081" max="3081" width="5.375" style="170" customWidth="1"/>
    <col min="3082" max="3082" width="4.75" style="170" customWidth="1"/>
    <col min="3083" max="3083" width="8.125" style="170" customWidth="1"/>
    <col min="3084" max="3084" width="12.125" style="170" customWidth="1"/>
    <col min="3085" max="3085" width="9.625" style="170" customWidth="1"/>
    <col min="3086" max="3086" width="11.875" style="170" customWidth="1"/>
    <col min="3087" max="3087" width="11.625" style="170" customWidth="1"/>
    <col min="3088" max="3088" width="14.375" style="170" customWidth="1"/>
    <col min="3089" max="3089" width="8.75" style="170" customWidth="1"/>
    <col min="3090" max="3090" width="10.25" style="170" customWidth="1"/>
    <col min="3091" max="3091" width="7.375" style="170" customWidth="1"/>
    <col min="3092" max="3092" width="6.125" style="170" customWidth="1"/>
    <col min="3093" max="3093" width="5.125" style="170" customWidth="1"/>
    <col min="3094" max="3094" width="5.375" style="170" customWidth="1"/>
    <col min="3095" max="3095" width="4.75" style="170" customWidth="1"/>
    <col min="3096" max="3096" width="8.125" style="170" customWidth="1"/>
    <col min="3097" max="3097" width="12.125" style="170" customWidth="1"/>
    <col min="3098" max="3098" width="9.625" style="170" customWidth="1"/>
    <col min="3099" max="3099" width="11.875" style="170" customWidth="1"/>
    <col min="3100" max="3100" width="11.625" style="170" customWidth="1"/>
    <col min="3101" max="3101" width="14.375" style="170" customWidth="1"/>
    <col min="3102" max="3328" width="9.125" style="170"/>
    <col min="3329" max="3329" width="7" style="170" customWidth="1"/>
    <col min="3330" max="3330" width="38" style="170" bestFit="1" customWidth="1"/>
    <col min="3331" max="3331" width="11.25" style="170" bestFit="1" customWidth="1"/>
    <col min="3332" max="3332" width="15.75" style="170" bestFit="1" customWidth="1"/>
    <col min="3333" max="3333" width="10.75" style="170" bestFit="1" customWidth="1"/>
    <col min="3334" max="3334" width="15.75" style="170" bestFit="1" customWidth="1"/>
    <col min="3335" max="3335" width="9.375" style="170" bestFit="1" customWidth="1"/>
    <col min="3336" max="3336" width="5.125" style="170" customWidth="1"/>
    <col min="3337" max="3337" width="5.375" style="170" customWidth="1"/>
    <col min="3338" max="3338" width="4.75" style="170" customWidth="1"/>
    <col min="3339" max="3339" width="8.125" style="170" customWidth="1"/>
    <col min="3340" max="3340" width="12.125" style="170" customWidth="1"/>
    <col min="3341" max="3341" width="9.625" style="170" customWidth="1"/>
    <col min="3342" max="3342" width="11.875" style="170" customWidth="1"/>
    <col min="3343" max="3343" width="11.625" style="170" customWidth="1"/>
    <col min="3344" max="3344" width="14.375" style="170" customWidth="1"/>
    <col min="3345" max="3345" width="8.75" style="170" customWidth="1"/>
    <col min="3346" max="3346" width="10.25" style="170" customWidth="1"/>
    <col min="3347" max="3347" width="7.375" style="170" customWidth="1"/>
    <col min="3348" max="3348" width="6.125" style="170" customWidth="1"/>
    <col min="3349" max="3349" width="5.125" style="170" customWidth="1"/>
    <col min="3350" max="3350" width="5.375" style="170" customWidth="1"/>
    <col min="3351" max="3351" width="4.75" style="170" customWidth="1"/>
    <col min="3352" max="3352" width="8.125" style="170" customWidth="1"/>
    <col min="3353" max="3353" width="12.125" style="170" customWidth="1"/>
    <col min="3354" max="3354" width="9.625" style="170" customWidth="1"/>
    <col min="3355" max="3355" width="11.875" style="170" customWidth="1"/>
    <col min="3356" max="3356" width="11.625" style="170" customWidth="1"/>
    <col min="3357" max="3357" width="14.375" style="170" customWidth="1"/>
    <col min="3358" max="3584" width="9.125" style="170"/>
    <col min="3585" max="3585" width="7" style="170" customWidth="1"/>
    <col min="3586" max="3586" width="38" style="170" bestFit="1" customWidth="1"/>
    <col min="3587" max="3587" width="11.25" style="170" bestFit="1" customWidth="1"/>
    <col min="3588" max="3588" width="15.75" style="170" bestFit="1" customWidth="1"/>
    <col min="3589" max="3589" width="10.75" style="170" bestFit="1" customWidth="1"/>
    <col min="3590" max="3590" width="15.75" style="170" bestFit="1" customWidth="1"/>
    <col min="3591" max="3591" width="9.375" style="170" bestFit="1" customWidth="1"/>
    <col min="3592" max="3592" width="5.125" style="170" customWidth="1"/>
    <col min="3593" max="3593" width="5.375" style="170" customWidth="1"/>
    <col min="3594" max="3594" width="4.75" style="170" customWidth="1"/>
    <col min="3595" max="3595" width="8.125" style="170" customWidth="1"/>
    <col min="3596" max="3596" width="12.125" style="170" customWidth="1"/>
    <col min="3597" max="3597" width="9.625" style="170" customWidth="1"/>
    <col min="3598" max="3598" width="11.875" style="170" customWidth="1"/>
    <col min="3599" max="3599" width="11.625" style="170" customWidth="1"/>
    <col min="3600" max="3600" width="14.375" style="170" customWidth="1"/>
    <col min="3601" max="3601" width="8.75" style="170" customWidth="1"/>
    <col min="3602" max="3602" width="10.25" style="170" customWidth="1"/>
    <col min="3603" max="3603" width="7.375" style="170" customWidth="1"/>
    <col min="3604" max="3604" width="6.125" style="170" customWidth="1"/>
    <col min="3605" max="3605" width="5.125" style="170" customWidth="1"/>
    <col min="3606" max="3606" width="5.375" style="170" customWidth="1"/>
    <col min="3607" max="3607" width="4.75" style="170" customWidth="1"/>
    <col min="3608" max="3608" width="8.125" style="170" customWidth="1"/>
    <col min="3609" max="3609" width="12.125" style="170" customWidth="1"/>
    <col min="3610" max="3610" width="9.625" style="170" customWidth="1"/>
    <col min="3611" max="3611" width="11.875" style="170" customWidth="1"/>
    <col min="3612" max="3612" width="11.625" style="170" customWidth="1"/>
    <col min="3613" max="3613" width="14.375" style="170" customWidth="1"/>
    <col min="3614" max="3840" width="9.125" style="170"/>
    <col min="3841" max="3841" width="7" style="170" customWidth="1"/>
    <col min="3842" max="3842" width="38" style="170" bestFit="1" customWidth="1"/>
    <col min="3843" max="3843" width="11.25" style="170" bestFit="1" customWidth="1"/>
    <col min="3844" max="3844" width="15.75" style="170" bestFit="1" customWidth="1"/>
    <col min="3845" max="3845" width="10.75" style="170" bestFit="1" customWidth="1"/>
    <col min="3846" max="3846" width="15.75" style="170" bestFit="1" customWidth="1"/>
    <col min="3847" max="3847" width="9.375" style="170" bestFit="1" customWidth="1"/>
    <col min="3848" max="3848" width="5.125" style="170" customWidth="1"/>
    <col min="3849" max="3849" width="5.375" style="170" customWidth="1"/>
    <col min="3850" max="3850" width="4.75" style="170" customWidth="1"/>
    <col min="3851" max="3851" width="8.125" style="170" customWidth="1"/>
    <col min="3852" max="3852" width="12.125" style="170" customWidth="1"/>
    <col min="3853" max="3853" width="9.625" style="170" customWidth="1"/>
    <col min="3854" max="3854" width="11.875" style="170" customWidth="1"/>
    <col min="3855" max="3855" width="11.625" style="170" customWidth="1"/>
    <col min="3856" max="3856" width="14.375" style="170" customWidth="1"/>
    <col min="3857" max="3857" width="8.75" style="170" customWidth="1"/>
    <col min="3858" max="3858" width="10.25" style="170" customWidth="1"/>
    <col min="3859" max="3859" width="7.375" style="170" customWidth="1"/>
    <col min="3860" max="3860" width="6.125" style="170" customWidth="1"/>
    <col min="3861" max="3861" width="5.125" style="170" customWidth="1"/>
    <col min="3862" max="3862" width="5.375" style="170" customWidth="1"/>
    <col min="3863" max="3863" width="4.75" style="170" customWidth="1"/>
    <col min="3864" max="3864" width="8.125" style="170" customWidth="1"/>
    <col min="3865" max="3865" width="12.125" style="170" customWidth="1"/>
    <col min="3866" max="3866" width="9.625" style="170" customWidth="1"/>
    <col min="3867" max="3867" width="11.875" style="170" customWidth="1"/>
    <col min="3868" max="3868" width="11.625" style="170" customWidth="1"/>
    <col min="3869" max="3869" width="14.375" style="170" customWidth="1"/>
    <col min="3870" max="4096" width="9.125" style="170"/>
    <col min="4097" max="4097" width="7" style="170" customWidth="1"/>
    <col min="4098" max="4098" width="38" style="170" bestFit="1" customWidth="1"/>
    <col min="4099" max="4099" width="11.25" style="170" bestFit="1" customWidth="1"/>
    <col min="4100" max="4100" width="15.75" style="170" bestFit="1" customWidth="1"/>
    <col min="4101" max="4101" width="10.75" style="170" bestFit="1" customWidth="1"/>
    <col min="4102" max="4102" width="15.75" style="170" bestFit="1" customWidth="1"/>
    <col min="4103" max="4103" width="9.375" style="170" bestFit="1" customWidth="1"/>
    <col min="4104" max="4104" width="5.125" style="170" customWidth="1"/>
    <col min="4105" max="4105" width="5.375" style="170" customWidth="1"/>
    <col min="4106" max="4106" width="4.75" style="170" customWidth="1"/>
    <col min="4107" max="4107" width="8.125" style="170" customWidth="1"/>
    <col min="4108" max="4108" width="12.125" style="170" customWidth="1"/>
    <col min="4109" max="4109" width="9.625" style="170" customWidth="1"/>
    <col min="4110" max="4110" width="11.875" style="170" customWidth="1"/>
    <col min="4111" max="4111" width="11.625" style="170" customWidth="1"/>
    <col min="4112" max="4112" width="14.375" style="170" customWidth="1"/>
    <col min="4113" max="4113" width="8.75" style="170" customWidth="1"/>
    <col min="4114" max="4114" width="10.25" style="170" customWidth="1"/>
    <col min="4115" max="4115" width="7.375" style="170" customWidth="1"/>
    <col min="4116" max="4116" width="6.125" style="170" customWidth="1"/>
    <col min="4117" max="4117" width="5.125" style="170" customWidth="1"/>
    <col min="4118" max="4118" width="5.375" style="170" customWidth="1"/>
    <col min="4119" max="4119" width="4.75" style="170" customWidth="1"/>
    <col min="4120" max="4120" width="8.125" style="170" customWidth="1"/>
    <col min="4121" max="4121" width="12.125" style="170" customWidth="1"/>
    <col min="4122" max="4122" width="9.625" style="170" customWidth="1"/>
    <col min="4123" max="4123" width="11.875" style="170" customWidth="1"/>
    <col min="4124" max="4124" width="11.625" style="170" customWidth="1"/>
    <col min="4125" max="4125" width="14.375" style="170" customWidth="1"/>
    <col min="4126" max="4352" width="9.125" style="170"/>
    <col min="4353" max="4353" width="7" style="170" customWidth="1"/>
    <col min="4354" max="4354" width="38" style="170" bestFit="1" customWidth="1"/>
    <col min="4355" max="4355" width="11.25" style="170" bestFit="1" customWidth="1"/>
    <col min="4356" max="4356" width="15.75" style="170" bestFit="1" customWidth="1"/>
    <col min="4357" max="4357" width="10.75" style="170" bestFit="1" customWidth="1"/>
    <col min="4358" max="4358" width="15.75" style="170" bestFit="1" customWidth="1"/>
    <col min="4359" max="4359" width="9.375" style="170" bestFit="1" customWidth="1"/>
    <col min="4360" max="4360" width="5.125" style="170" customWidth="1"/>
    <col min="4361" max="4361" width="5.375" style="170" customWidth="1"/>
    <col min="4362" max="4362" width="4.75" style="170" customWidth="1"/>
    <col min="4363" max="4363" width="8.125" style="170" customWidth="1"/>
    <col min="4364" max="4364" width="12.125" style="170" customWidth="1"/>
    <col min="4365" max="4365" width="9.625" style="170" customWidth="1"/>
    <col min="4366" max="4366" width="11.875" style="170" customWidth="1"/>
    <col min="4367" max="4367" width="11.625" style="170" customWidth="1"/>
    <col min="4368" max="4368" width="14.375" style="170" customWidth="1"/>
    <col min="4369" max="4369" width="8.75" style="170" customWidth="1"/>
    <col min="4370" max="4370" width="10.25" style="170" customWidth="1"/>
    <col min="4371" max="4371" width="7.375" style="170" customWidth="1"/>
    <col min="4372" max="4372" width="6.125" style="170" customWidth="1"/>
    <col min="4373" max="4373" width="5.125" style="170" customWidth="1"/>
    <col min="4374" max="4374" width="5.375" style="170" customWidth="1"/>
    <col min="4375" max="4375" width="4.75" style="170" customWidth="1"/>
    <col min="4376" max="4376" width="8.125" style="170" customWidth="1"/>
    <col min="4377" max="4377" width="12.125" style="170" customWidth="1"/>
    <col min="4378" max="4378" width="9.625" style="170" customWidth="1"/>
    <col min="4379" max="4379" width="11.875" style="170" customWidth="1"/>
    <col min="4380" max="4380" width="11.625" style="170" customWidth="1"/>
    <col min="4381" max="4381" width="14.375" style="170" customWidth="1"/>
    <col min="4382" max="4608" width="9.125" style="170"/>
    <col min="4609" max="4609" width="7" style="170" customWidth="1"/>
    <col min="4610" max="4610" width="38" style="170" bestFit="1" customWidth="1"/>
    <col min="4611" max="4611" width="11.25" style="170" bestFit="1" customWidth="1"/>
    <col min="4612" max="4612" width="15.75" style="170" bestFit="1" customWidth="1"/>
    <col min="4613" max="4613" width="10.75" style="170" bestFit="1" customWidth="1"/>
    <col min="4614" max="4614" width="15.75" style="170" bestFit="1" customWidth="1"/>
    <col min="4615" max="4615" width="9.375" style="170" bestFit="1" customWidth="1"/>
    <col min="4616" max="4616" width="5.125" style="170" customWidth="1"/>
    <col min="4617" max="4617" width="5.375" style="170" customWidth="1"/>
    <col min="4618" max="4618" width="4.75" style="170" customWidth="1"/>
    <col min="4619" max="4619" width="8.125" style="170" customWidth="1"/>
    <col min="4620" max="4620" width="12.125" style="170" customWidth="1"/>
    <col min="4621" max="4621" width="9.625" style="170" customWidth="1"/>
    <col min="4622" max="4622" width="11.875" style="170" customWidth="1"/>
    <col min="4623" max="4623" width="11.625" style="170" customWidth="1"/>
    <col min="4624" max="4624" width="14.375" style="170" customWidth="1"/>
    <col min="4625" max="4625" width="8.75" style="170" customWidth="1"/>
    <col min="4626" max="4626" width="10.25" style="170" customWidth="1"/>
    <col min="4627" max="4627" width="7.375" style="170" customWidth="1"/>
    <col min="4628" max="4628" width="6.125" style="170" customWidth="1"/>
    <col min="4629" max="4629" width="5.125" style="170" customWidth="1"/>
    <col min="4630" max="4630" width="5.375" style="170" customWidth="1"/>
    <col min="4631" max="4631" width="4.75" style="170" customWidth="1"/>
    <col min="4632" max="4632" width="8.125" style="170" customWidth="1"/>
    <col min="4633" max="4633" width="12.125" style="170" customWidth="1"/>
    <col min="4634" max="4634" width="9.625" style="170" customWidth="1"/>
    <col min="4635" max="4635" width="11.875" style="170" customWidth="1"/>
    <col min="4636" max="4636" width="11.625" style="170" customWidth="1"/>
    <col min="4637" max="4637" width="14.375" style="170" customWidth="1"/>
    <col min="4638" max="4864" width="9.125" style="170"/>
    <col min="4865" max="4865" width="7" style="170" customWidth="1"/>
    <col min="4866" max="4866" width="38" style="170" bestFit="1" customWidth="1"/>
    <col min="4867" max="4867" width="11.25" style="170" bestFit="1" customWidth="1"/>
    <col min="4868" max="4868" width="15.75" style="170" bestFit="1" customWidth="1"/>
    <col min="4869" max="4869" width="10.75" style="170" bestFit="1" customWidth="1"/>
    <col min="4870" max="4870" width="15.75" style="170" bestFit="1" customWidth="1"/>
    <col min="4871" max="4871" width="9.375" style="170" bestFit="1" customWidth="1"/>
    <col min="4872" max="4872" width="5.125" style="170" customWidth="1"/>
    <col min="4873" max="4873" width="5.375" style="170" customWidth="1"/>
    <col min="4874" max="4874" width="4.75" style="170" customWidth="1"/>
    <col min="4875" max="4875" width="8.125" style="170" customWidth="1"/>
    <col min="4876" max="4876" width="12.125" style="170" customWidth="1"/>
    <col min="4877" max="4877" width="9.625" style="170" customWidth="1"/>
    <col min="4878" max="4878" width="11.875" style="170" customWidth="1"/>
    <col min="4879" max="4879" width="11.625" style="170" customWidth="1"/>
    <col min="4880" max="4880" width="14.375" style="170" customWidth="1"/>
    <col min="4881" max="4881" width="8.75" style="170" customWidth="1"/>
    <col min="4882" max="4882" width="10.25" style="170" customWidth="1"/>
    <col min="4883" max="4883" width="7.375" style="170" customWidth="1"/>
    <col min="4884" max="4884" width="6.125" style="170" customWidth="1"/>
    <col min="4885" max="4885" width="5.125" style="170" customWidth="1"/>
    <col min="4886" max="4886" width="5.375" style="170" customWidth="1"/>
    <col min="4887" max="4887" width="4.75" style="170" customWidth="1"/>
    <col min="4888" max="4888" width="8.125" style="170" customWidth="1"/>
    <col min="4889" max="4889" width="12.125" style="170" customWidth="1"/>
    <col min="4890" max="4890" width="9.625" style="170" customWidth="1"/>
    <col min="4891" max="4891" width="11.875" style="170" customWidth="1"/>
    <col min="4892" max="4892" width="11.625" style="170" customWidth="1"/>
    <col min="4893" max="4893" width="14.375" style="170" customWidth="1"/>
    <col min="4894" max="5120" width="9.125" style="170"/>
    <col min="5121" max="5121" width="7" style="170" customWidth="1"/>
    <col min="5122" max="5122" width="38" style="170" bestFit="1" customWidth="1"/>
    <col min="5123" max="5123" width="11.25" style="170" bestFit="1" customWidth="1"/>
    <col min="5124" max="5124" width="15.75" style="170" bestFit="1" customWidth="1"/>
    <col min="5125" max="5125" width="10.75" style="170" bestFit="1" customWidth="1"/>
    <col min="5126" max="5126" width="15.75" style="170" bestFit="1" customWidth="1"/>
    <col min="5127" max="5127" width="9.375" style="170" bestFit="1" customWidth="1"/>
    <col min="5128" max="5128" width="5.125" style="170" customWidth="1"/>
    <col min="5129" max="5129" width="5.375" style="170" customWidth="1"/>
    <col min="5130" max="5130" width="4.75" style="170" customWidth="1"/>
    <col min="5131" max="5131" width="8.125" style="170" customWidth="1"/>
    <col min="5132" max="5132" width="12.125" style="170" customWidth="1"/>
    <col min="5133" max="5133" width="9.625" style="170" customWidth="1"/>
    <col min="5134" max="5134" width="11.875" style="170" customWidth="1"/>
    <col min="5135" max="5135" width="11.625" style="170" customWidth="1"/>
    <col min="5136" max="5136" width="14.375" style="170" customWidth="1"/>
    <col min="5137" max="5137" width="8.75" style="170" customWidth="1"/>
    <col min="5138" max="5138" width="10.25" style="170" customWidth="1"/>
    <col min="5139" max="5139" width="7.375" style="170" customWidth="1"/>
    <col min="5140" max="5140" width="6.125" style="170" customWidth="1"/>
    <col min="5141" max="5141" width="5.125" style="170" customWidth="1"/>
    <col min="5142" max="5142" width="5.375" style="170" customWidth="1"/>
    <col min="5143" max="5143" width="4.75" style="170" customWidth="1"/>
    <col min="5144" max="5144" width="8.125" style="170" customWidth="1"/>
    <col min="5145" max="5145" width="12.125" style="170" customWidth="1"/>
    <col min="5146" max="5146" width="9.625" style="170" customWidth="1"/>
    <col min="5147" max="5147" width="11.875" style="170" customWidth="1"/>
    <col min="5148" max="5148" width="11.625" style="170" customWidth="1"/>
    <col min="5149" max="5149" width="14.375" style="170" customWidth="1"/>
    <col min="5150" max="5376" width="9.125" style="170"/>
    <col min="5377" max="5377" width="7" style="170" customWidth="1"/>
    <col min="5378" max="5378" width="38" style="170" bestFit="1" customWidth="1"/>
    <col min="5379" max="5379" width="11.25" style="170" bestFit="1" customWidth="1"/>
    <col min="5380" max="5380" width="15.75" style="170" bestFit="1" customWidth="1"/>
    <col min="5381" max="5381" width="10.75" style="170" bestFit="1" customWidth="1"/>
    <col min="5382" max="5382" width="15.75" style="170" bestFit="1" customWidth="1"/>
    <col min="5383" max="5383" width="9.375" style="170" bestFit="1" customWidth="1"/>
    <col min="5384" max="5384" width="5.125" style="170" customWidth="1"/>
    <col min="5385" max="5385" width="5.375" style="170" customWidth="1"/>
    <col min="5386" max="5386" width="4.75" style="170" customWidth="1"/>
    <col min="5387" max="5387" width="8.125" style="170" customWidth="1"/>
    <col min="5388" max="5388" width="12.125" style="170" customWidth="1"/>
    <col min="5389" max="5389" width="9.625" style="170" customWidth="1"/>
    <col min="5390" max="5390" width="11.875" style="170" customWidth="1"/>
    <col min="5391" max="5391" width="11.625" style="170" customWidth="1"/>
    <col min="5392" max="5392" width="14.375" style="170" customWidth="1"/>
    <col min="5393" max="5393" width="8.75" style="170" customWidth="1"/>
    <col min="5394" max="5394" width="10.25" style="170" customWidth="1"/>
    <col min="5395" max="5395" width="7.375" style="170" customWidth="1"/>
    <col min="5396" max="5396" width="6.125" style="170" customWidth="1"/>
    <col min="5397" max="5397" width="5.125" style="170" customWidth="1"/>
    <col min="5398" max="5398" width="5.375" style="170" customWidth="1"/>
    <col min="5399" max="5399" width="4.75" style="170" customWidth="1"/>
    <col min="5400" max="5400" width="8.125" style="170" customWidth="1"/>
    <col min="5401" max="5401" width="12.125" style="170" customWidth="1"/>
    <col min="5402" max="5402" width="9.625" style="170" customWidth="1"/>
    <col min="5403" max="5403" width="11.875" style="170" customWidth="1"/>
    <col min="5404" max="5404" width="11.625" style="170" customWidth="1"/>
    <col min="5405" max="5405" width="14.375" style="170" customWidth="1"/>
    <col min="5406" max="5632" width="9.125" style="170"/>
    <col min="5633" max="5633" width="7" style="170" customWidth="1"/>
    <col min="5634" max="5634" width="38" style="170" bestFit="1" customWidth="1"/>
    <col min="5635" max="5635" width="11.25" style="170" bestFit="1" customWidth="1"/>
    <col min="5636" max="5636" width="15.75" style="170" bestFit="1" customWidth="1"/>
    <col min="5637" max="5637" width="10.75" style="170" bestFit="1" customWidth="1"/>
    <col min="5638" max="5638" width="15.75" style="170" bestFit="1" customWidth="1"/>
    <col min="5639" max="5639" width="9.375" style="170" bestFit="1" customWidth="1"/>
    <col min="5640" max="5640" width="5.125" style="170" customWidth="1"/>
    <col min="5641" max="5641" width="5.375" style="170" customWidth="1"/>
    <col min="5642" max="5642" width="4.75" style="170" customWidth="1"/>
    <col min="5643" max="5643" width="8.125" style="170" customWidth="1"/>
    <col min="5644" max="5644" width="12.125" style="170" customWidth="1"/>
    <col min="5645" max="5645" width="9.625" style="170" customWidth="1"/>
    <col min="5646" max="5646" width="11.875" style="170" customWidth="1"/>
    <col min="5647" max="5647" width="11.625" style="170" customWidth="1"/>
    <col min="5648" max="5648" width="14.375" style="170" customWidth="1"/>
    <col min="5649" max="5649" width="8.75" style="170" customWidth="1"/>
    <col min="5650" max="5650" width="10.25" style="170" customWidth="1"/>
    <col min="5651" max="5651" width="7.375" style="170" customWidth="1"/>
    <col min="5652" max="5652" width="6.125" style="170" customWidth="1"/>
    <col min="5653" max="5653" width="5.125" style="170" customWidth="1"/>
    <col min="5654" max="5654" width="5.375" style="170" customWidth="1"/>
    <col min="5655" max="5655" width="4.75" style="170" customWidth="1"/>
    <col min="5656" max="5656" width="8.125" style="170" customWidth="1"/>
    <col min="5657" max="5657" width="12.125" style="170" customWidth="1"/>
    <col min="5658" max="5658" width="9.625" style="170" customWidth="1"/>
    <col min="5659" max="5659" width="11.875" style="170" customWidth="1"/>
    <col min="5660" max="5660" width="11.625" style="170" customWidth="1"/>
    <col min="5661" max="5661" width="14.375" style="170" customWidth="1"/>
    <col min="5662" max="5888" width="9.125" style="170"/>
    <col min="5889" max="5889" width="7" style="170" customWidth="1"/>
    <col min="5890" max="5890" width="38" style="170" bestFit="1" customWidth="1"/>
    <col min="5891" max="5891" width="11.25" style="170" bestFit="1" customWidth="1"/>
    <col min="5892" max="5892" width="15.75" style="170" bestFit="1" customWidth="1"/>
    <col min="5893" max="5893" width="10.75" style="170" bestFit="1" customWidth="1"/>
    <col min="5894" max="5894" width="15.75" style="170" bestFit="1" customWidth="1"/>
    <col min="5895" max="5895" width="9.375" style="170" bestFit="1" customWidth="1"/>
    <col min="5896" max="5896" width="5.125" style="170" customWidth="1"/>
    <col min="5897" max="5897" width="5.375" style="170" customWidth="1"/>
    <col min="5898" max="5898" width="4.75" style="170" customWidth="1"/>
    <col min="5899" max="5899" width="8.125" style="170" customWidth="1"/>
    <col min="5900" max="5900" width="12.125" style="170" customWidth="1"/>
    <col min="5901" max="5901" width="9.625" style="170" customWidth="1"/>
    <col min="5902" max="5902" width="11.875" style="170" customWidth="1"/>
    <col min="5903" max="5903" width="11.625" style="170" customWidth="1"/>
    <col min="5904" max="5904" width="14.375" style="170" customWidth="1"/>
    <col min="5905" max="5905" width="8.75" style="170" customWidth="1"/>
    <col min="5906" max="5906" width="10.25" style="170" customWidth="1"/>
    <col min="5907" max="5907" width="7.375" style="170" customWidth="1"/>
    <col min="5908" max="5908" width="6.125" style="170" customWidth="1"/>
    <col min="5909" max="5909" width="5.125" style="170" customWidth="1"/>
    <col min="5910" max="5910" width="5.375" style="170" customWidth="1"/>
    <col min="5911" max="5911" width="4.75" style="170" customWidth="1"/>
    <col min="5912" max="5912" width="8.125" style="170" customWidth="1"/>
    <col min="5913" max="5913" width="12.125" style="170" customWidth="1"/>
    <col min="5914" max="5914" width="9.625" style="170" customWidth="1"/>
    <col min="5915" max="5915" width="11.875" style="170" customWidth="1"/>
    <col min="5916" max="5916" width="11.625" style="170" customWidth="1"/>
    <col min="5917" max="5917" width="14.375" style="170" customWidth="1"/>
    <col min="5918" max="6144" width="9.125" style="170"/>
    <col min="6145" max="6145" width="7" style="170" customWidth="1"/>
    <col min="6146" max="6146" width="38" style="170" bestFit="1" customWidth="1"/>
    <col min="6147" max="6147" width="11.25" style="170" bestFit="1" customWidth="1"/>
    <col min="6148" max="6148" width="15.75" style="170" bestFit="1" customWidth="1"/>
    <col min="6149" max="6149" width="10.75" style="170" bestFit="1" customWidth="1"/>
    <col min="6150" max="6150" width="15.75" style="170" bestFit="1" customWidth="1"/>
    <col min="6151" max="6151" width="9.375" style="170" bestFit="1" customWidth="1"/>
    <col min="6152" max="6152" width="5.125" style="170" customWidth="1"/>
    <col min="6153" max="6153" width="5.375" style="170" customWidth="1"/>
    <col min="6154" max="6154" width="4.75" style="170" customWidth="1"/>
    <col min="6155" max="6155" width="8.125" style="170" customWidth="1"/>
    <col min="6156" max="6156" width="12.125" style="170" customWidth="1"/>
    <col min="6157" max="6157" width="9.625" style="170" customWidth="1"/>
    <col min="6158" max="6158" width="11.875" style="170" customWidth="1"/>
    <col min="6159" max="6159" width="11.625" style="170" customWidth="1"/>
    <col min="6160" max="6160" width="14.375" style="170" customWidth="1"/>
    <col min="6161" max="6161" width="8.75" style="170" customWidth="1"/>
    <col min="6162" max="6162" width="10.25" style="170" customWidth="1"/>
    <col min="6163" max="6163" width="7.375" style="170" customWidth="1"/>
    <col min="6164" max="6164" width="6.125" style="170" customWidth="1"/>
    <col min="6165" max="6165" width="5.125" style="170" customWidth="1"/>
    <col min="6166" max="6166" width="5.375" style="170" customWidth="1"/>
    <col min="6167" max="6167" width="4.75" style="170" customWidth="1"/>
    <col min="6168" max="6168" width="8.125" style="170" customWidth="1"/>
    <col min="6169" max="6169" width="12.125" style="170" customWidth="1"/>
    <col min="6170" max="6170" width="9.625" style="170" customWidth="1"/>
    <col min="6171" max="6171" width="11.875" style="170" customWidth="1"/>
    <col min="6172" max="6172" width="11.625" style="170" customWidth="1"/>
    <col min="6173" max="6173" width="14.375" style="170" customWidth="1"/>
    <col min="6174" max="6400" width="9.125" style="170"/>
    <col min="6401" max="6401" width="7" style="170" customWidth="1"/>
    <col min="6402" max="6402" width="38" style="170" bestFit="1" customWidth="1"/>
    <col min="6403" max="6403" width="11.25" style="170" bestFit="1" customWidth="1"/>
    <col min="6404" max="6404" width="15.75" style="170" bestFit="1" customWidth="1"/>
    <col min="6405" max="6405" width="10.75" style="170" bestFit="1" customWidth="1"/>
    <col min="6406" max="6406" width="15.75" style="170" bestFit="1" customWidth="1"/>
    <col min="6407" max="6407" width="9.375" style="170" bestFit="1" customWidth="1"/>
    <col min="6408" max="6408" width="5.125" style="170" customWidth="1"/>
    <col min="6409" max="6409" width="5.375" style="170" customWidth="1"/>
    <col min="6410" max="6410" width="4.75" style="170" customWidth="1"/>
    <col min="6411" max="6411" width="8.125" style="170" customWidth="1"/>
    <col min="6412" max="6412" width="12.125" style="170" customWidth="1"/>
    <col min="6413" max="6413" width="9.625" style="170" customWidth="1"/>
    <col min="6414" max="6414" width="11.875" style="170" customWidth="1"/>
    <col min="6415" max="6415" width="11.625" style="170" customWidth="1"/>
    <col min="6416" max="6416" width="14.375" style="170" customWidth="1"/>
    <col min="6417" max="6417" width="8.75" style="170" customWidth="1"/>
    <col min="6418" max="6418" width="10.25" style="170" customWidth="1"/>
    <col min="6419" max="6419" width="7.375" style="170" customWidth="1"/>
    <col min="6420" max="6420" width="6.125" style="170" customWidth="1"/>
    <col min="6421" max="6421" width="5.125" style="170" customWidth="1"/>
    <col min="6422" max="6422" width="5.375" style="170" customWidth="1"/>
    <col min="6423" max="6423" width="4.75" style="170" customWidth="1"/>
    <col min="6424" max="6424" width="8.125" style="170" customWidth="1"/>
    <col min="6425" max="6425" width="12.125" style="170" customWidth="1"/>
    <col min="6426" max="6426" width="9.625" style="170" customWidth="1"/>
    <col min="6427" max="6427" width="11.875" style="170" customWidth="1"/>
    <col min="6428" max="6428" width="11.625" style="170" customWidth="1"/>
    <col min="6429" max="6429" width="14.375" style="170" customWidth="1"/>
    <col min="6430" max="6656" width="9.125" style="170"/>
    <col min="6657" max="6657" width="7" style="170" customWidth="1"/>
    <col min="6658" max="6658" width="38" style="170" bestFit="1" customWidth="1"/>
    <col min="6659" max="6659" width="11.25" style="170" bestFit="1" customWidth="1"/>
    <col min="6660" max="6660" width="15.75" style="170" bestFit="1" customWidth="1"/>
    <col min="6661" max="6661" width="10.75" style="170" bestFit="1" customWidth="1"/>
    <col min="6662" max="6662" width="15.75" style="170" bestFit="1" customWidth="1"/>
    <col min="6663" max="6663" width="9.375" style="170" bestFit="1" customWidth="1"/>
    <col min="6664" max="6664" width="5.125" style="170" customWidth="1"/>
    <col min="6665" max="6665" width="5.375" style="170" customWidth="1"/>
    <col min="6666" max="6666" width="4.75" style="170" customWidth="1"/>
    <col min="6667" max="6667" width="8.125" style="170" customWidth="1"/>
    <col min="6668" max="6668" width="12.125" style="170" customWidth="1"/>
    <col min="6669" max="6669" width="9.625" style="170" customWidth="1"/>
    <col min="6670" max="6670" width="11.875" style="170" customWidth="1"/>
    <col min="6671" max="6671" width="11.625" style="170" customWidth="1"/>
    <col min="6672" max="6672" width="14.375" style="170" customWidth="1"/>
    <col min="6673" max="6673" width="8.75" style="170" customWidth="1"/>
    <col min="6674" max="6674" width="10.25" style="170" customWidth="1"/>
    <col min="6675" max="6675" width="7.375" style="170" customWidth="1"/>
    <col min="6676" max="6676" width="6.125" style="170" customWidth="1"/>
    <col min="6677" max="6677" width="5.125" style="170" customWidth="1"/>
    <col min="6678" max="6678" width="5.375" style="170" customWidth="1"/>
    <col min="6679" max="6679" width="4.75" style="170" customWidth="1"/>
    <col min="6680" max="6680" width="8.125" style="170" customWidth="1"/>
    <col min="6681" max="6681" width="12.125" style="170" customWidth="1"/>
    <col min="6682" max="6682" width="9.625" style="170" customWidth="1"/>
    <col min="6683" max="6683" width="11.875" style="170" customWidth="1"/>
    <col min="6684" max="6684" width="11.625" style="170" customWidth="1"/>
    <col min="6685" max="6685" width="14.375" style="170" customWidth="1"/>
    <col min="6686" max="6912" width="9.125" style="170"/>
    <col min="6913" max="6913" width="7" style="170" customWidth="1"/>
    <col min="6914" max="6914" width="38" style="170" bestFit="1" customWidth="1"/>
    <col min="6915" max="6915" width="11.25" style="170" bestFit="1" customWidth="1"/>
    <col min="6916" max="6916" width="15.75" style="170" bestFit="1" customWidth="1"/>
    <col min="6917" max="6917" width="10.75" style="170" bestFit="1" customWidth="1"/>
    <col min="6918" max="6918" width="15.75" style="170" bestFit="1" customWidth="1"/>
    <col min="6919" max="6919" width="9.375" style="170" bestFit="1" customWidth="1"/>
    <col min="6920" max="6920" width="5.125" style="170" customWidth="1"/>
    <col min="6921" max="6921" width="5.375" style="170" customWidth="1"/>
    <col min="6922" max="6922" width="4.75" style="170" customWidth="1"/>
    <col min="6923" max="6923" width="8.125" style="170" customWidth="1"/>
    <col min="6924" max="6924" width="12.125" style="170" customWidth="1"/>
    <col min="6925" max="6925" width="9.625" style="170" customWidth="1"/>
    <col min="6926" max="6926" width="11.875" style="170" customWidth="1"/>
    <col min="6927" max="6927" width="11.625" style="170" customWidth="1"/>
    <col min="6928" max="6928" width="14.375" style="170" customWidth="1"/>
    <col min="6929" max="6929" width="8.75" style="170" customWidth="1"/>
    <col min="6930" max="6930" width="10.25" style="170" customWidth="1"/>
    <col min="6931" max="6931" width="7.375" style="170" customWidth="1"/>
    <col min="6932" max="6932" width="6.125" style="170" customWidth="1"/>
    <col min="6933" max="6933" width="5.125" style="170" customWidth="1"/>
    <col min="6934" max="6934" width="5.375" style="170" customWidth="1"/>
    <col min="6935" max="6935" width="4.75" style="170" customWidth="1"/>
    <col min="6936" max="6936" width="8.125" style="170" customWidth="1"/>
    <col min="6937" max="6937" width="12.125" style="170" customWidth="1"/>
    <col min="6938" max="6938" width="9.625" style="170" customWidth="1"/>
    <col min="6939" max="6939" width="11.875" style="170" customWidth="1"/>
    <col min="6940" max="6940" width="11.625" style="170" customWidth="1"/>
    <col min="6941" max="6941" width="14.375" style="170" customWidth="1"/>
    <col min="6942" max="7168" width="9.125" style="170"/>
    <col min="7169" max="7169" width="7" style="170" customWidth="1"/>
    <col min="7170" max="7170" width="38" style="170" bestFit="1" customWidth="1"/>
    <col min="7171" max="7171" width="11.25" style="170" bestFit="1" customWidth="1"/>
    <col min="7172" max="7172" width="15.75" style="170" bestFit="1" customWidth="1"/>
    <col min="7173" max="7173" width="10.75" style="170" bestFit="1" customWidth="1"/>
    <col min="7174" max="7174" width="15.75" style="170" bestFit="1" customWidth="1"/>
    <col min="7175" max="7175" width="9.375" style="170" bestFit="1" customWidth="1"/>
    <col min="7176" max="7176" width="5.125" style="170" customWidth="1"/>
    <col min="7177" max="7177" width="5.375" style="170" customWidth="1"/>
    <col min="7178" max="7178" width="4.75" style="170" customWidth="1"/>
    <col min="7179" max="7179" width="8.125" style="170" customWidth="1"/>
    <col min="7180" max="7180" width="12.125" style="170" customWidth="1"/>
    <col min="7181" max="7181" width="9.625" style="170" customWidth="1"/>
    <col min="7182" max="7182" width="11.875" style="170" customWidth="1"/>
    <col min="7183" max="7183" width="11.625" style="170" customWidth="1"/>
    <col min="7184" max="7184" width="14.375" style="170" customWidth="1"/>
    <col min="7185" max="7185" width="8.75" style="170" customWidth="1"/>
    <col min="7186" max="7186" width="10.25" style="170" customWidth="1"/>
    <col min="7187" max="7187" width="7.375" style="170" customWidth="1"/>
    <col min="7188" max="7188" width="6.125" style="170" customWidth="1"/>
    <col min="7189" max="7189" width="5.125" style="170" customWidth="1"/>
    <col min="7190" max="7190" width="5.375" style="170" customWidth="1"/>
    <col min="7191" max="7191" width="4.75" style="170" customWidth="1"/>
    <col min="7192" max="7192" width="8.125" style="170" customWidth="1"/>
    <col min="7193" max="7193" width="12.125" style="170" customWidth="1"/>
    <col min="7194" max="7194" width="9.625" style="170" customWidth="1"/>
    <col min="7195" max="7195" width="11.875" style="170" customWidth="1"/>
    <col min="7196" max="7196" width="11.625" style="170" customWidth="1"/>
    <col min="7197" max="7197" width="14.375" style="170" customWidth="1"/>
    <col min="7198" max="7424" width="9.125" style="170"/>
    <col min="7425" max="7425" width="7" style="170" customWidth="1"/>
    <col min="7426" max="7426" width="38" style="170" bestFit="1" customWidth="1"/>
    <col min="7427" max="7427" width="11.25" style="170" bestFit="1" customWidth="1"/>
    <col min="7428" max="7428" width="15.75" style="170" bestFit="1" customWidth="1"/>
    <col min="7429" max="7429" width="10.75" style="170" bestFit="1" customWidth="1"/>
    <col min="7430" max="7430" width="15.75" style="170" bestFit="1" customWidth="1"/>
    <col min="7431" max="7431" width="9.375" style="170" bestFit="1" customWidth="1"/>
    <col min="7432" max="7432" width="5.125" style="170" customWidth="1"/>
    <col min="7433" max="7433" width="5.375" style="170" customWidth="1"/>
    <col min="7434" max="7434" width="4.75" style="170" customWidth="1"/>
    <col min="7435" max="7435" width="8.125" style="170" customWidth="1"/>
    <col min="7436" max="7436" width="12.125" style="170" customWidth="1"/>
    <col min="7437" max="7437" width="9.625" style="170" customWidth="1"/>
    <col min="7438" max="7438" width="11.875" style="170" customWidth="1"/>
    <col min="7439" max="7439" width="11.625" style="170" customWidth="1"/>
    <col min="7440" max="7440" width="14.375" style="170" customWidth="1"/>
    <col min="7441" max="7441" width="8.75" style="170" customWidth="1"/>
    <col min="7442" max="7442" width="10.25" style="170" customWidth="1"/>
    <col min="7443" max="7443" width="7.375" style="170" customWidth="1"/>
    <col min="7444" max="7444" width="6.125" style="170" customWidth="1"/>
    <col min="7445" max="7445" width="5.125" style="170" customWidth="1"/>
    <col min="7446" max="7446" width="5.375" style="170" customWidth="1"/>
    <col min="7447" max="7447" width="4.75" style="170" customWidth="1"/>
    <col min="7448" max="7448" width="8.125" style="170" customWidth="1"/>
    <col min="7449" max="7449" width="12.125" style="170" customWidth="1"/>
    <col min="7450" max="7450" width="9.625" style="170" customWidth="1"/>
    <col min="7451" max="7451" width="11.875" style="170" customWidth="1"/>
    <col min="7452" max="7452" width="11.625" style="170" customWidth="1"/>
    <col min="7453" max="7453" width="14.375" style="170" customWidth="1"/>
    <col min="7454" max="7680" width="9.125" style="170"/>
    <col min="7681" max="7681" width="7" style="170" customWidth="1"/>
    <col min="7682" max="7682" width="38" style="170" bestFit="1" customWidth="1"/>
    <col min="7683" max="7683" width="11.25" style="170" bestFit="1" customWidth="1"/>
    <col min="7684" max="7684" width="15.75" style="170" bestFit="1" customWidth="1"/>
    <col min="7685" max="7685" width="10.75" style="170" bestFit="1" customWidth="1"/>
    <col min="7686" max="7686" width="15.75" style="170" bestFit="1" customWidth="1"/>
    <col min="7687" max="7687" width="9.375" style="170" bestFit="1" customWidth="1"/>
    <col min="7688" max="7688" width="5.125" style="170" customWidth="1"/>
    <col min="7689" max="7689" width="5.375" style="170" customWidth="1"/>
    <col min="7690" max="7690" width="4.75" style="170" customWidth="1"/>
    <col min="7691" max="7691" width="8.125" style="170" customWidth="1"/>
    <col min="7692" max="7692" width="12.125" style="170" customWidth="1"/>
    <col min="7693" max="7693" width="9.625" style="170" customWidth="1"/>
    <col min="7694" max="7694" width="11.875" style="170" customWidth="1"/>
    <col min="7695" max="7695" width="11.625" style="170" customWidth="1"/>
    <col min="7696" max="7696" width="14.375" style="170" customWidth="1"/>
    <col min="7697" max="7697" width="8.75" style="170" customWidth="1"/>
    <col min="7698" max="7698" width="10.25" style="170" customWidth="1"/>
    <col min="7699" max="7699" width="7.375" style="170" customWidth="1"/>
    <col min="7700" max="7700" width="6.125" style="170" customWidth="1"/>
    <col min="7701" max="7701" width="5.125" style="170" customWidth="1"/>
    <col min="7702" max="7702" width="5.375" style="170" customWidth="1"/>
    <col min="7703" max="7703" width="4.75" style="170" customWidth="1"/>
    <col min="7704" max="7704" width="8.125" style="170" customWidth="1"/>
    <col min="7705" max="7705" width="12.125" style="170" customWidth="1"/>
    <col min="7706" max="7706" width="9.625" style="170" customWidth="1"/>
    <col min="7707" max="7707" width="11.875" style="170" customWidth="1"/>
    <col min="7708" max="7708" width="11.625" style="170" customWidth="1"/>
    <col min="7709" max="7709" width="14.375" style="170" customWidth="1"/>
    <col min="7710" max="7936" width="9.125" style="170"/>
    <col min="7937" max="7937" width="7" style="170" customWidth="1"/>
    <col min="7938" max="7938" width="38" style="170" bestFit="1" customWidth="1"/>
    <col min="7939" max="7939" width="11.25" style="170" bestFit="1" customWidth="1"/>
    <col min="7940" max="7940" width="15.75" style="170" bestFit="1" customWidth="1"/>
    <col min="7941" max="7941" width="10.75" style="170" bestFit="1" customWidth="1"/>
    <col min="7942" max="7942" width="15.75" style="170" bestFit="1" customWidth="1"/>
    <col min="7943" max="7943" width="9.375" style="170" bestFit="1" customWidth="1"/>
    <col min="7944" max="7944" width="5.125" style="170" customWidth="1"/>
    <col min="7945" max="7945" width="5.375" style="170" customWidth="1"/>
    <col min="7946" max="7946" width="4.75" style="170" customWidth="1"/>
    <col min="7947" max="7947" width="8.125" style="170" customWidth="1"/>
    <col min="7948" max="7948" width="12.125" style="170" customWidth="1"/>
    <col min="7949" max="7949" width="9.625" style="170" customWidth="1"/>
    <col min="7950" max="7950" width="11.875" style="170" customWidth="1"/>
    <col min="7951" max="7951" width="11.625" style="170" customWidth="1"/>
    <col min="7952" max="7952" width="14.375" style="170" customWidth="1"/>
    <col min="7953" max="7953" width="8.75" style="170" customWidth="1"/>
    <col min="7954" max="7954" width="10.25" style="170" customWidth="1"/>
    <col min="7955" max="7955" width="7.375" style="170" customWidth="1"/>
    <col min="7956" max="7956" width="6.125" style="170" customWidth="1"/>
    <col min="7957" max="7957" width="5.125" style="170" customWidth="1"/>
    <col min="7958" max="7958" width="5.375" style="170" customWidth="1"/>
    <col min="7959" max="7959" width="4.75" style="170" customWidth="1"/>
    <col min="7960" max="7960" width="8.125" style="170" customWidth="1"/>
    <col min="7961" max="7961" width="12.125" style="170" customWidth="1"/>
    <col min="7962" max="7962" width="9.625" style="170" customWidth="1"/>
    <col min="7963" max="7963" width="11.875" style="170" customWidth="1"/>
    <col min="7964" max="7964" width="11.625" style="170" customWidth="1"/>
    <col min="7965" max="7965" width="14.375" style="170" customWidth="1"/>
    <col min="7966" max="8192" width="9.125" style="170"/>
    <col min="8193" max="8193" width="7" style="170" customWidth="1"/>
    <col min="8194" max="8194" width="38" style="170" bestFit="1" customWidth="1"/>
    <col min="8195" max="8195" width="11.25" style="170" bestFit="1" customWidth="1"/>
    <col min="8196" max="8196" width="15.75" style="170" bestFit="1" customWidth="1"/>
    <col min="8197" max="8197" width="10.75" style="170" bestFit="1" customWidth="1"/>
    <col min="8198" max="8198" width="15.75" style="170" bestFit="1" customWidth="1"/>
    <col min="8199" max="8199" width="9.375" style="170" bestFit="1" customWidth="1"/>
    <col min="8200" max="8200" width="5.125" style="170" customWidth="1"/>
    <col min="8201" max="8201" width="5.375" style="170" customWidth="1"/>
    <col min="8202" max="8202" width="4.75" style="170" customWidth="1"/>
    <col min="8203" max="8203" width="8.125" style="170" customWidth="1"/>
    <col min="8204" max="8204" width="12.125" style="170" customWidth="1"/>
    <col min="8205" max="8205" width="9.625" style="170" customWidth="1"/>
    <col min="8206" max="8206" width="11.875" style="170" customWidth="1"/>
    <col min="8207" max="8207" width="11.625" style="170" customWidth="1"/>
    <col min="8208" max="8208" width="14.375" style="170" customWidth="1"/>
    <col min="8209" max="8209" width="8.75" style="170" customWidth="1"/>
    <col min="8210" max="8210" width="10.25" style="170" customWidth="1"/>
    <col min="8211" max="8211" width="7.375" style="170" customWidth="1"/>
    <col min="8212" max="8212" width="6.125" style="170" customWidth="1"/>
    <col min="8213" max="8213" width="5.125" style="170" customWidth="1"/>
    <col min="8214" max="8214" width="5.375" style="170" customWidth="1"/>
    <col min="8215" max="8215" width="4.75" style="170" customWidth="1"/>
    <col min="8216" max="8216" width="8.125" style="170" customWidth="1"/>
    <col min="8217" max="8217" width="12.125" style="170" customWidth="1"/>
    <col min="8218" max="8218" width="9.625" style="170" customWidth="1"/>
    <col min="8219" max="8219" width="11.875" style="170" customWidth="1"/>
    <col min="8220" max="8220" width="11.625" style="170" customWidth="1"/>
    <col min="8221" max="8221" width="14.375" style="170" customWidth="1"/>
    <col min="8222" max="8448" width="9.125" style="170"/>
    <col min="8449" max="8449" width="7" style="170" customWidth="1"/>
    <col min="8450" max="8450" width="38" style="170" bestFit="1" customWidth="1"/>
    <col min="8451" max="8451" width="11.25" style="170" bestFit="1" customWidth="1"/>
    <col min="8452" max="8452" width="15.75" style="170" bestFit="1" customWidth="1"/>
    <col min="8453" max="8453" width="10.75" style="170" bestFit="1" customWidth="1"/>
    <col min="8454" max="8454" width="15.75" style="170" bestFit="1" customWidth="1"/>
    <col min="8455" max="8455" width="9.375" style="170" bestFit="1" customWidth="1"/>
    <col min="8456" max="8456" width="5.125" style="170" customWidth="1"/>
    <col min="8457" max="8457" width="5.375" style="170" customWidth="1"/>
    <col min="8458" max="8458" width="4.75" style="170" customWidth="1"/>
    <col min="8459" max="8459" width="8.125" style="170" customWidth="1"/>
    <col min="8460" max="8460" width="12.125" style="170" customWidth="1"/>
    <col min="8461" max="8461" width="9.625" style="170" customWidth="1"/>
    <col min="8462" max="8462" width="11.875" style="170" customWidth="1"/>
    <col min="8463" max="8463" width="11.625" style="170" customWidth="1"/>
    <col min="8464" max="8464" width="14.375" style="170" customWidth="1"/>
    <col min="8465" max="8465" width="8.75" style="170" customWidth="1"/>
    <col min="8466" max="8466" width="10.25" style="170" customWidth="1"/>
    <col min="8467" max="8467" width="7.375" style="170" customWidth="1"/>
    <col min="8468" max="8468" width="6.125" style="170" customWidth="1"/>
    <col min="8469" max="8469" width="5.125" style="170" customWidth="1"/>
    <col min="8470" max="8470" width="5.375" style="170" customWidth="1"/>
    <col min="8471" max="8471" width="4.75" style="170" customWidth="1"/>
    <col min="8472" max="8472" width="8.125" style="170" customWidth="1"/>
    <col min="8473" max="8473" width="12.125" style="170" customWidth="1"/>
    <col min="8474" max="8474" width="9.625" style="170" customWidth="1"/>
    <col min="8475" max="8475" width="11.875" style="170" customWidth="1"/>
    <col min="8476" max="8476" width="11.625" style="170" customWidth="1"/>
    <col min="8477" max="8477" width="14.375" style="170" customWidth="1"/>
    <col min="8478" max="8704" width="9.125" style="170"/>
    <col min="8705" max="8705" width="7" style="170" customWidth="1"/>
    <col min="8706" max="8706" width="38" style="170" bestFit="1" customWidth="1"/>
    <col min="8707" max="8707" width="11.25" style="170" bestFit="1" customWidth="1"/>
    <col min="8708" max="8708" width="15.75" style="170" bestFit="1" customWidth="1"/>
    <col min="8709" max="8709" width="10.75" style="170" bestFit="1" customWidth="1"/>
    <col min="8710" max="8710" width="15.75" style="170" bestFit="1" customWidth="1"/>
    <col min="8711" max="8711" width="9.375" style="170" bestFit="1" customWidth="1"/>
    <col min="8712" max="8712" width="5.125" style="170" customWidth="1"/>
    <col min="8713" max="8713" width="5.375" style="170" customWidth="1"/>
    <col min="8714" max="8714" width="4.75" style="170" customWidth="1"/>
    <col min="8715" max="8715" width="8.125" style="170" customWidth="1"/>
    <col min="8716" max="8716" width="12.125" style="170" customWidth="1"/>
    <col min="8717" max="8717" width="9.625" style="170" customWidth="1"/>
    <col min="8718" max="8718" width="11.875" style="170" customWidth="1"/>
    <col min="8719" max="8719" width="11.625" style="170" customWidth="1"/>
    <col min="8720" max="8720" width="14.375" style="170" customWidth="1"/>
    <col min="8721" max="8721" width="8.75" style="170" customWidth="1"/>
    <col min="8722" max="8722" width="10.25" style="170" customWidth="1"/>
    <col min="8723" max="8723" width="7.375" style="170" customWidth="1"/>
    <col min="8724" max="8724" width="6.125" style="170" customWidth="1"/>
    <col min="8725" max="8725" width="5.125" style="170" customWidth="1"/>
    <col min="8726" max="8726" width="5.375" style="170" customWidth="1"/>
    <col min="8727" max="8727" width="4.75" style="170" customWidth="1"/>
    <col min="8728" max="8728" width="8.125" style="170" customWidth="1"/>
    <col min="8729" max="8729" width="12.125" style="170" customWidth="1"/>
    <col min="8730" max="8730" width="9.625" style="170" customWidth="1"/>
    <col min="8731" max="8731" width="11.875" style="170" customWidth="1"/>
    <col min="8732" max="8732" width="11.625" style="170" customWidth="1"/>
    <col min="8733" max="8733" width="14.375" style="170" customWidth="1"/>
    <col min="8734" max="8960" width="9.125" style="170"/>
    <col min="8961" max="8961" width="7" style="170" customWidth="1"/>
    <col min="8962" max="8962" width="38" style="170" bestFit="1" customWidth="1"/>
    <col min="8963" max="8963" width="11.25" style="170" bestFit="1" customWidth="1"/>
    <col min="8964" max="8964" width="15.75" style="170" bestFit="1" customWidth="1"/>
    <col min="8965" max="8965" width="10.75" style="170" bestFit="1" customWidth="1"/>
    <col min="8966" max="8966" width="15.75" style="170" bestFit="1" customWidth="1"/>
    <col min="8967" max="8967" width="9.375" style="170" bestFit="1" customWidth="1"/>
    <col min="8968" max="8968" width="5.125" style="170" customWidth="1"/>
    <col min="8969" max="8969" width="5.375" style="170" customWidth="1"/>
    <col min="8970" max="8970" width="4.75" style="170" customWidth="1"/>
    <col min="8971" max="8971" width="8.125" style="170" customWidth="1"/>
    <col min="8972" max="8972" width="12.125" style="170" customWidth="1"/>
    <col min="8973" max="8973" width="9.625" style="170" customWidth="1"/>
    <col min="8974" max="8974" width="11.875" style="170" customWidth="1"/>
    <col min="8975" max="8975" width="11.625" style="170" customWidth="1"/>
    <col min="8976" max="8976" width="14.375" style="170" customWidth="1"/>
    <col min="8977" max="8977" width="8.75" style="170" customWidth="1"/>
    <col min="8978" max="8978" width="10.25" style="170" customWidth="1"/>
    <col min="8979" max="8979" width="7.375" style="170" customWidth="1"/>
    <col min="8980" max="8980" width="6.125" style="170" customWidth="1"/>
    <col min="8981" max="8981" width="5.125" style="170" customWidth="1"/>
    <col min="8982" max="8982" width="5.375" style="170" customWidth="1"/>
    <col min="8983" max="8983" width="4.75" style="170" customWidth="1"/>
    <col min="8984" max="8984" width="8.125" style="170" customWidth="1"/>
    <col min="8985" max="8985" width="12.125" style="170" customWidth="1"/>
    <col min="8986" max="8986" width="9.625" style="170" customWidth="1"/>
    <col min="8987" max="8987" width="11.875" style="170" customWidth="1"/>
    <col min="8988" max="8988" width="11.625" style="170" customWidth="1"/>
    <col min="8989" max="8989" width="14.375" style="170" customWidth="1"/>
    <col min="8990" max="9216" width="9.125" style="170"/>
    <col min="9217" max="9217" width="7" style="170" customWidth="1"/>
    <col min="9218" max="9218" width="38" style="170" bestFit="1" customWidth="1"/>
    <col min="9219" max="9219" width="11.25" style="170" bestFit="1" customWidth="1"/>
    <col min="9220" max="9220" width="15.75" style="170" bestFit="1" customWidth="1"/>
    <col min="9221" max="9221" width="10.75" style="170" bestFit="1" customWidth="1"/>
    <col min="9222" max="9222" width="15.75" style="170" bestFit="1" customWidth="1"/>
    <col min="9223" max="9223" width="9.375" style="170" bestFit="1" customWidth="1"/>
    <col min="9224" max="9224" width="5.125" style="170" customWidth="1"/>
    <col min="9225" max="9225" width="5.375" style="170" customWidth="1"/>
    <col min="9226" max="9226" width="4.75" style="170" customWidth="1"/>
    <col min="9227" max="9227" width="8.125" style="170" customWidth="1"/>
    <col min="9228" max="9228" width="12.125" style="170" customWidth="1"/>
    <col min="9229" max="9229" width="9.625" style="170" customWidth="1"/>
    <col min="9230" max="9230" width="11.875" style="170" customWidth="1"/>
    <col min="9231" max="9231" width="11.625" style="170" customWidth="1"/>
    <col min="9232" max="9232" width="14.375" style="170" customWidth="1"/>
    <col min="9233" max="9233" width="8.75" style="170" customWidth="1"/>
    <col min="9234" max="9234" width="10.25" style="170" customWidth="1"/>
    <col min="9235" max="9235" width="7.375" style="170" customWidth="1"/>
    <col min="9236" max="9236" width="6.125" style="170" customWidth="1"/>
    <col min="9237" max="9237" width="5.125" style="170" customWidth="1"/>
    <col min="9238" max="9238" width="5.375" style="170" customWidth="1"/>
    <col min="9239" max="9239" width="4.75" style="170" customWidth="1"/>
    <col min="9240" max="9240" width="8.125" style="170" customWidth="1"/>
    <col min="9241" max="9241" width="12.125" style="170" customWidth="1"/>
    <col min="9242" max="9242" width="9.625" style="170" customWidth="1"/>
    <col min="9243" max="9243" width="11.875" style="170" customWidth="1"/>
    <col min="9244" max="9244" width="11.625" style="170" customWidth="1"/>
    <col min="9245" max="9245" width="14.375" style="170" customWidth="1"/>
    <col min="9246" max="9472" width="9.125" style="170"/>
    <col min="9473" max="9473" width="7" style="170" customWidth="1"/>
    <col min="9474" max="9474" width="38" style="170" bestFit="1" customWidth="1"/>
    <col min="9475" max="9475" width="11.25" style="170" bestFit="1" customWidth="1"/>
    <col min="9476" max="9476" width="15.75" style="170" bestFit="1" customWidth="1"/>
    <col min="9477" max="9477" width="10.75" style="170" bestFit="1" customWidth="1"/>
    <col min="9478" max="9478" width="15.75" style="170" bestFit="1" customWidth="1"/>
    <col min="9479" max="9479" width="9.375" style="170" bestFit="1" customWidth="1"/>
    <col min="9480" max="9480" width="5.125" style="170" customWidth="1"/>
    <col min="9481" max="9481" width="5.375" style="170" customWidth="1"/>
    <col min="9482" max="9482" width="4.75" style="170" customWidth="1"/>
    <col min="9483" max="9483" width="8.125" style="170" customWidth="1"/>
    <col min="9484" max="9484" width="12.125" style="170" customWidth="1"/>
    <col min="9485" max="9485" width="9.625" style="170" customWidth="1"/>
    <col min="9486" max="9486" width="11.875" style="170" customWidth="1"/>
    <col min="9487" max="9487" width="11.625" style="170" customWidth="1"/>
    <col min="9488" max="9488" width="14.375" style="170" customWidth="1"/>
    <col min="9489" max="9489" width="8.75" style="170" customWidth="1"/>
    <col min="9490" max="9490" width="10.25" style="170" customWidth="1"/>
    <col min="9491" max="9491" width="7.375" style="170" customWidth="1"/>
    <col min="9492" max="9492" width="6.125" style="170" customWidth="1"/>
    <col min="9493" max="9493" width="5.125" style="170" customWidth="1"/>
    <col min="9494" max="9494" width="5.375" style="170" customWidth="1"/>
    <col min="9495" max="9495" width="4.75" style="170" customWidth="1"/>
    <col min="9496" max="9496" width="8.125" style="170" customWidth="1"/>
    <col min="9497" max="9497" width="12.125" style="170" customWidth="1"/>
    <col min="9498" max="9498" width="9.625" style="170" customWidth="1"/>
    <col min="9499" max="9499" width="11.875" style="170" customWidth="1"/>
    <col min="9500" max="9500" width="11.625" style="170" customWidth="1"/>
    <col min="9501" max="9501" width="14.375" style="170" customWidth="1"/>
    <col min="9502" max="9728" width="9.125" style="170"/>
    <col min="9729" max="9729" width="7" style="170" customWidth="1"/>
    <col min="9730" max="9730" width="38" style="170" bestFit="1" customWidth="1"/>
    <col min="9731" max="9731" width="11.25" style="170" bestFit="1" customWidth="1"/>
    <col min="9732" max="9732" width="15.75" style="170" bestFit="1" customWidth="1"/>
    <col min="9733" max="9733" width="10.75" style="170" bestFit="1" customWidth="1"/>
    <col min="9734" max="9734" width="15.75" style="170" bestFit="1" customWidth="1"/>
    <col min="9735" max="9735" width="9.375" style="170" bestFit="1" customWidth="1"/>
    <col min="9736" max="9736" width="5.125" style="170" customWidth="1"/>
    <col min="9737" max="9737" width="5.375" style="170" customWidth="1"/>
    <col min="9738" max="9738" width="4.75" style="170" customWidth="1"/>
    <col min="9739" max="9739" width="8.125" style="170" customWidth="1"/>
    <col min="9740" max="9740" width="12.125" style="170" customWidth="1"/>
    <col min="9741" max="9741" width="9.625" style="170" customWidth="1"/>
    <col min="9742" max="9742" width="11.875" style="170" customWidth="1"/>
    <col min="9743" max="9743" width="11.625" style="170" customWidth="1"/>
    <col min="9744" max="9744" width="14.375" style="170" customWidth="1"/>
    <col min="9745" max="9745" width="8.75" style="170" customWidth="1"/>
    <col min="9746" max="9746" width="10.25" style="170" customWidth="1"/>
    <col min="9747" max="9747" width="7.375" style="170" customWidth="1"/>
    <col min="9748" max="9748" width="6.125" style="170" customWidth="1"/>
    <col min="9749" max="9749" width="5.125" style="170" customWidth="1"/>
    <col min="9750" max="9750" width="5.375" style="170" customWidth="1"/>
    <col min="9751" max="9751" width="4.75" style="170" customWidth="1"/>
    <col min="9752" max="9752" width="8.125" style="170" customWidth="1"/>
    <col min="9753" max="9753" width="12.125" style="170" customWidth="1"/>
    <col min="9754" max="9754" width="9.625" style="170" customWidth="1"/>
    <col min="9755" max="9755" width="11.875" style="170" customWidth="1"/>
    <col min="9756" max="9756" width="11.625" style="170" customWidth="1"/>
    <col min="9757" max="9757" width="14.375" style="170" customWidth="1"/>
    <col min="9758" max="9984" width="9.125" style="170"/>
    <col min="9985" max="9985" width="7" style="170" customWidth="1"/>
    <col min="9986" max="9986" width="38" style="170" bestFit="1" customWidth="1"/>
    <col min="9987" max="9987" width="11.25" style="170" bestFit="1" customWidth="1"/>
    <col min="9988" max="9988" width="15.75" style="170" bestFit="1" customWidth="1"/>
    <col min="9989" max="9989" width="10.75" style="170" bestFit="1" customWidth="1"/>
    <col min="9990" max="9990" width="15.75" style="170" bestFit="1" customWidth="1"/>
    <col min="9991" max="9991" width="9.375" style="170" bestFit="1" customWidth="1"/>
    <col min="9992" max="9992" width="5.125" style="170" customWidth="1"/>
    <col min="9993" max="9993" width="5.375" style="170" customWidth="1"/>
    <col min="9994" max="9994" width="4.75" style="170" customWidth="1"/>
    <col min="9995" max="9995" width="8.125" style="170" customWidth="1"/>
    <col min="9996" max="9996" width="12.125" style="170" customWidth="1"/>
    <col min="9997" max="9997" width="9.625" style="170" customWidth="1"/>
    <col min="9998" max="9998" width="11.875" style="170" customWidth="1"/>
    <col min="9999" max="9999" width="11.625" style="170" customWidth="1"/>
    <col min="10000" max="10000" width="14.375" style="170" customWidth="1"/>
    <col min="10001" max="10001" width="8.75" style="170" customWidth="1"/>
    <col min="10002" max="10002" width="10.25" style="170" customWidth="1"/>
    <col min="10003" max="10003" width="7.375" style="170" customWidth="1"/>
    <col min="10004" max="10004" width="6.125" style="170" customWidth="1"/>
    <col min="10005" max="10005" width="5.125" style="170" customWidth="1"/>
    <col min="10006" max="10006" width="5.375" style="170" customWidth="1"/>
    <col min="10007" max="10007" width="4.75" style="170" customWidth="1"/>
    <col min="10008" max="10008" width="8.125" style="170" customWidth="1"/>
    <col min="10009" max="10009" width="12.125" style="170" customWidth="1"/>
    <col min="10010" max="10010" width="9.625" style="170" customWidth="1"/>
    <col min="10011" max="10011" width="11.875" style="170" customWidth="1"/>
    <col min="10012" max="10012" width="11.625" style="170" customWidth="1"/>
    <col min="10013" max="10013" width="14.375" style="170" customWidth="1"/>
    <col min="10014" max="10240" width="9.125" style="170"/>
    <col min="10241" max="10241" width="7" style="170" customWidth="1"/>
    <col min="10242" max="10242" width="38" style="170" bestFit="1" customWidth="1"/>
    <col min="10243" max="10243" width="11.25" style="170" bestFit="1" customWidth="1"/>
    <col min="10244" max="10244" width="15.75" style="170" bestFit="1" customWidth="1"/>
    <col min="10245" max="10245" width="10.75" style="170" bestFit="1" customWidth="1"/>
    <col min="10246" max="10246" width="15.75" style="170" bestFit="1" customWidth="1"/>
    <col min="10247" max="10247" width="9.375" style="170" bestFit="1" customWidth="1"/>
    <col min="10248" max="10248" width="5.125" style="170" customWidth="1"/>
    <col min="10249" max="10249" width="5.375" style="170" customWidth="1"/>
    <col min="10250" max="10250" width="4.75" style="170" customWidth="1"/>
    <col min="10251" max="10251" width="8.125" style="170" customWidth="1"/>
    <col min="10252" max="10252" width="12.125" style="170" customWidth="1"/>
    <col min="10253" max="10253" width="9.625" style="170" customWidth="1"/>
    <col min="10254" max="10254" width="11.875" style="170" customWidth="1"/>
    <col min="10255" max="10255" width="11.625" style="170" customWidth="1"/>
    <col min="10256" max="10256" width="14.375" style="170" customWidth="1"/>
    <col min="10257" max="10257" width="8.75" style="170" customWidth="1"/>
    <col min="10258" max="10258" width="10.25" style="170" customWidth="1"/>
    <col min="10259" max="10259" width="7.375" style="170" customWidth="1"/>
    <col min="10260" max="10260" width="6.125" style="170" customWidth="1"/>
    <col min="10261" max="10261" width="5.125" style="170" customWidth="1"/>
    <col min="10262" max="10262" width="5.375" style="170" customWidth="1"/>
    <col min="10263" max="10263" width="4.75" style="170" customWidth="1"/>
    <col min="10264" max="10264" width="8.125" style="170" customWidth="1"/>
    <col min="10265" max="10265" width="12.125" style="170" customWidth="1"/>
    <col min="10266" max="10266" width="9.625" style="170" customWidth="1"/>
    <col min="10267" max="10267" width="11.875" style="170" customWidth="1"/>
    <col min="10268" max="10268" width="11.625" style="170" customWidth="1"/>
    <col min="10269" max="10269" width="14.375" style="170" customWidth="1"/>
    <col min="10270" max="10496" width="9.125" style="170"/>
    <col min="10497" max="10497" width="7" style="170" customWidth="1"/>
    <col min="10498" max="10498" width="38" style="170" bestFit="1" customWidth="1"/>
    <col min="10499" max="10499" width="11.25" style="170" bestFit="1" customWidth="1"/>
    <col min="10500" max="10500" width="15.75" style="170" bestFit="1" customWidth="1"/>
    <col min="10501" max="10501" width="10.75" style="170" bestFit="1" customWidth="1"/>
    <col min="10502" max="10502" width="15.75" style="170" bestFit="1" customWidth="1"/>
    <col min="10503" max="10503" width="9.375" style="170" bestFit="1" customWidth="1"/>
    <col min="10504" max="10504" width="5.125" style="170" customWidth="1"/>
    <col min="10505" max="10505" width="5.375" style="170" customWidth="1"/>
    <col min="10506" max="10506" width="4.75" style="170" customWidth="1"/>
    <col min="10507" max="10507" width="8.125" style="170" customWidth="1"/>
    <col min="10508" max="10508" width="12.125" style="170" customWidth="1"/>
    <col min="10509" max="10509" width="9.625" style="170" customWidth="1"/>
    <col min="10510" max="10510" width="11.875" style="170" customWidth="1"/>
    <col min="10511" max="10511" width="11.625" style="170" customWidth="1"/>
    <col min="10512" max="10512" width="14.375" style="170" customWidth="1"/>
    <col min="10513" max="10513" width="8.75" style="170" customWidth="1"/>
    <col min="10514" max="10514" width="10.25" style="170" customWidth="1"/>
    <col min="10515" max="10515" width="7.375" style="170" customWidth="1"/>
    <col min="10516" max="10516" width="6.125" style="170" customWidth="1"/>
    <col min="10517" max="10517" width="5.125" style="170" customWidth="1"/>
    <col min="10518" max="10518" width="5.375" style="170" customWidth="1"/>
    <col min="10519" max="10519" width="4.75" style="170" customWidth="1"/>
    <col min="10520" max="10520" width="8.125" style="170" customWidth="1"/>
    <col min="10521" max="10521" width="12.125" style="170" customWidth="1"/>
    <col min="10522" max="10522" width="9.625" style="170" customWidth="1"/>
    <col min="10523" max="10523" width="11.875" style="170" customWidth="1"/>
    <col min="10524" max="10524" width="11.625" style="170" customWidth="1"/>
    <col min="10525" max="10525" width="14.375" style="170" customWidth="1"/>
    <col min="10526" max="10752" width="9.125" style="170"/>
    <col min="10753" max="10753" width="7" style="170" customWidth="1"/>
    <col min="10754" max="10754" width="38" style="170" bestFit="1" customWidth="1"/>
    <col min="10755" max="10755" width="11.25" style="170" bestFit="1" customWidth="1"/>
    <col min="10756" max="10756" width="15.75" style="170" bestFit="1" customWidth="1"/>
    <col min="10757" max="10757" width="10.75" style="170" bestFit="1" customWidth="1"/>
    <col min="10758" max="10758" width="15.75" style="170" bestFit="1" customWidth="1"/>
    <col min="10759" max="10759" width="9.375" style="170" bestFit="1" customWidth="1"/>
    <col min="10760" max="10760" width="5.125" style="170" customWidth="1"/>
    <col min="10761" max="10761" width="5.375" style="170" customWidth="1"/>
    <col min="10762" max="10762" width="4.75" style="170" customWidth="1"/>
    <col min="10763" max="10763" width="8.125" style="170" customWidth="1"/>
    <col min="10764" max="10764" width="12.125" style="170" customWidth="1"/>
    <col min="10765" max="10765" width="9.625" style="170" customWidth="1"/>
    <col min="10766" max="10766" width="11.875" style="170" customWidth="1"/>
    <col min="10767" max="10767" width="11.625" style="170" customWidth="1"/>
    <col min="10768" max="10768" width="14.375" style="170" customWidth="1"/>
    <col min="10769" max="10769" width="8.75" style="170" customWidth="1"/>
    <col min="10770" max="10770" width="10.25" style="170" customWidth="1"/>
    <col min="10771" max="10771" width="7.375" style="170" customWidth="1"/>
    <col min="10772" max="10772" width="6.125" style="170" customWidth="1"/>
    <col min="10773" max="10773" width="5.125" style="170" customWidth="1"/>
    <col min="10774" max="10774" width="5.375" style="170" customWidth="1"/>
    <col min="10775" max="10775" width="4.75" style="170" customWidth="1"/>
    <col min="10776" max="10776" width="8.125" style="170" customWidth="1"/>
    <col min="10777" max="10777" width="12.125" style="170" customWidth="1"/>
    <col min="10778" max="10778" width="9.625" style="170" customWidth="1"/>
    <col min="10779" max="10779" width="11.875" style="170" customWidth="1"/>
    <col min="10780" max="10780" width="11.625" style="170" customWidth="1"/>
    <col min="10781" max="10781" width="14.375" style="170" customWidth="1"/>
    <col min="10782" max="11008" width="9.125" style="170"/>
    <col min="11009" max="11009" width="7" style="170" customWidth="1"/>
    <col min="11010" max="11010" width="38" style="170" bestFit="1" customWidth="1"/>
    <col min="11011" max="11011" width="11.25" style="170" bestFit="1" customWidth="1"/>
    <col min="11012" max="11012" width="15.75" style="170" bestFit="1" customWidth="1"/>
    <col min="11013" max="11013" width="10.75" style="170" bestFit="1" customWidth="1"/>
    <col min="11014" max="11014" width="15.75" style="170" bestFit="1" customWidth="1"/>
    <col min="11015" max="11015" width="9.375" style="170" bestFit="1" customWidth="1"/>
    <col min="11016" max="11016" width="5.125" style="170" customWidth="1"/>
    <col min="11017" max="11017" width="5.375" style="170" customWidth="1"/>
    <col min="11018" max="11018" width="4.75" style="170" customWidth="1"/>
    <col min="11019" max="11019" width="8.125" style="170" customWidth="1"/>
    <col min="11020" max="11020" width="12.125" style="170" customWidth="1"/>
    <col min="11021" max="11021" width="9.625" style="170" customWidth="1"/>
    <col min="11022" max="11022" width="11.875" style="170" customWidth="1"/>
    <col min="11023" max="11023" width="11.625" style="170" customWidth="1"/>
    <col min="11024" max="11024" width="14.375" style="170" customWidth="1"/>
    <col min="11025" max="11025" width="8.75" style="170" customWidth="1"/>
    <col min="11026" max="11026" width="10.25" style="170" customWidth="1"/>
    <col min="11027" max="11027" width="7.375" style="170" customWidth="1"/>
    <col min="11028" max="11028" width="6.125" style="170" customWidth="1"/>
    <col min="11029" max="11029" width="5.125" style="170" customWidth="1"/>
    <col min="11030" max="11030" width="5.375" style="170" customWidth="1"/>
    <col min="11031" max="11031" width="4.75" style="170" customWidth="1"/>
    <col min="11032" max="11032" width="8.125" style="170" customWidth="1"/>
    <col min="11033" max="11033" width="12.125" style="170" customWidth="1"/>
    <col min="11034" max="11034" width="9.625" style="170" customWidth="1"/>
    <col min="11035" max="11035" width="11.875" style="170" customWidth="1"/>
    <col min="11036" max="11036" width="11.625" style="170" customWidth="1"/>
    <col min="11037" max="11037" width="14.375" style="170" customWidth="1"/>
    <col min="11038" max="11264" width="9.125" style="170"/>
    <col min="11265" max="11265" width="7" style="170" customWidth="1"/>
    <col min="11266" max="11266" width="38" style="170" bestFit="1" customWidth="1"/>
    <col min="11267" max="11267" width="11.25" style="170" bestFit="1" customWidth="1"/>
    <col min="11268" max="11268" width="15.75" style="170" bestFit="1" customWidth="1"/>
    <col min="11269" max="11269" width="10.75" style="170" bestFit="1" customWidth="1"/>
    <col min="11270" max="11270" width="15.75" style="170" bestFit="1" customWidth="1"/>
    <col min="11271" max="11271" width="9.375" style="170" bestFit="1" customWidth="1"/>
    <col min="11272" max="11272" width="5.125" style="170" customWidth="1"/>
    <col min="11273" max="11273" width="5.375" style="170" customWidth="1"/>
    <col min="11274" max="11274" width="4.75" style="170" customWidth="1"/>
    <col min="11275" max="11275" width="8.125" style="170" customWidth="1"/>
    <col min="11276" max="11276" width="12.125" style="170" customWidth="1"/>
    <col min="11277" max="11277" width="9.625" style="170" customWidth="1"/>
    <col min="11278" max="11278" width="11.875" style="170" customWidth="1"/>
    <col min="11279" max="11279" width="11.625" style="170" customWidth="1"/>
    <col min="11280" max="11280" width="14.375" style="170" customWidth="1"/>
    <col min="11281" max="11281" width="8.75" style="170" customWidth="1"/>
    <col min="11282" max="11282" width="10.25" style="170" customWidth="1"/>
    <col min="11283" max="11283" width="7.375" style="170" customWidth="1"/>
    <col min="11284" max="11284" width="6.125" style="170" customWidth="1"/>
    <col min="11285" max="11285" width="5.125" style="170" customWidth="1"/>
    <col min="11286" max="11286" width="5.375" style="170" customWidth="1"/>
    <col min="11287" max="11287" width="4.75" style="170" customWidth="1"/>
    <col min="11288" max="11288" width="8.125" style="170" customWidth="1"/>
    <col min="11289" max="11289" width="12.125" style="170" customWidth="1"/>
    <col min="11290" max="11290" width="9.625" style="170" customWidth="1"/>
    <col min="11291" max="11291" width="11.875" style="170" customWidth="1"/>
    <col min="11292" max="11292" width="11.625" style="170" customWidth="1"/>
    <col min="11293" max="11293" width="14.375" style="170" customWidth="1"/>
    <col min="11294" max="11520" width="9.125" style="170"/>
    <col min="11521" max="11521" width="7" style="170" customWidth="1"/>
    <col min="11522" max="11522" width="38" style="170" bestFit="1" customWidth="1"/>
    <col min="11523" max="11523" width="11.25" style="170" bestFit="1" customWidth="1"/>
    <col min="11524" max="11524" width="15.75" style="170" bestFit="1" customWidth="1"/>
    <col min="11525" max="11525" width="10.75" style="170" bestFit="1" customWidth="1"/>
    <col min="11526" max="11526" width="15.75" style="170" bestFit="1" customWidth="1"/>
    <col min="11527" max="11527" width="9.375" style="170" bestFit="1" customWidth="1"/>
    <col min="11528" max="11528" width="5.125" style="170" customWidth="1"/>
    <col min="11529" max="11529" width="5.375" style="170" customWidth="1"/>
    <col min="11530" max="11530" width="4.75" style="170" customWidth="1"/>
    <col min="11531" max="11531" width="8.125" style="170" customWidth="1"/>
    <col min="11532" max="11532" width="12.125" style="170" customWidth="1"/>
    <col min="11533" max="11533" width="9.625" style="170" customWidth="1"/>
    <col min="11534" max="11534" width="11.875" style="170" customWidth="1"/>
    <col min="11535" max="11535" width="11.625" style="170" customWidth="1"/>
    <col min="11536" max="11536" width="14.375" style="170" customWidth="1"/>
    <col min="11537" max="11537" width="8.75" style="170" customWidth="1"/>
    <col min="11538" max="11538" width="10.25" style="170" customWidth="1"/>
    <col min="11539" max="11539" width="7.375" style="170" customWidth="1"/>
    <col min="11540" max="11540" width="6.125" style="170" customWidth="1"/>
    <col min="11541" max="11541" width="5.125" style="170" customWidth="1"/>
    <col min="11542" max="11542" width="5.375" style="170" customWidth="1"/>
    <col min="11543" max="11543" width="4.75" style="170" customWidth="1"/>
    <col min="11544" max="11544" width="8.125" style="170" customWidth="1"/>
    <col min="11545" max="11545" width="12.125" style="170" customWidth="1"/>
    <col min="11546" max="11546" width="9.625" style="170" customWidth="1"/>
    <col min="11547" max="11547" width="11.875" style="170" customWidth="1"/>
    <col min="11548" max="11548" width="11.625" style="170" customWidth="1"/>
    <col min="11549" max="11549" width="14.375" style="170" customWidth="1"/>
    <col min="11550" max="11776" width="9.125" style="170"/>
    <col min="11777" max="11777" width="7" style="170" customWidth="1"/>
    <col min="11778" max="11778" width="38" style="170" bestFit="1" customWidth="1"/>
    <col min="11779" max="11779" width="11.25" style="170" bestFit="1" customWidth="1"/>
    <col min="11780" max="11780" width="15.75" style="170" bestFit="1" customWidth="1"/>
    <col min="11781" max="11781" width="10.75" style="170" bestFit="1" customWidth="1"/>
    <col min="11782" max="11782" width="15.75" style="170" bestFit="1" customWidth="1"/>
    <col min="11783" max="11783" width="9.375" style="170" bestFit="1" customWidth="1"/>
    <col min="11784" max="11784" width="5.125" style="170" customWidth="1"/>
    <col min="11785" max="11785" width="5.375" style="170" customWidth="1"/>
    <col min="11786" max="11786" width="4.75" style="170" customWidth="1"/>
    <col min="11787" max="11787" width="8.125" style="170" customWidth="1"/>
    <col min="11788" max="11788" width="12.125" style="170" customWidth="1"/>
    <col min="11789" max="11789" width="9.625" style="170" customWidth="1"/>
    <col min="11790" max="11790" width="11.875" style="170" customWidth="1"/>
    <col min="11791" max="11791" width="11.625" style="170" customWidth="1"/>
    <col min="11792" max="11792" width="14.375" style="170" customWidth="1"/>
    <col min="11793" max="11793" width="8.75" style="170" customWidth="1"/>
    <col min="11794" max="11794" width="10.25" style="170" customWidth="1"/>
    <col min="11795" max="11795" width="7.375" style="170" customWidth="1"/>
    <col min="11796" max="11796" width="6.125" style="170" customWidth="1"/>
    <col min="11797" max="11797" width="5.125" style="170" customWidth="1"/>
    <col min="11798" max="11798" width="5.375" style="170" customWidth="1"/>
    <col min="11799" max="11799" width="4.75" style="170" customWidth="1"/>
    <col min="11800" max="11800" width="8.125" style="170" customWidth="1"/>
    <col min="11801" max="11801" width="12.125" style="170" customWidth="1"/>
    <col min="11802" max="11802" width="9.625" style="170" customWidth="1"/>
    <col min="11803" max="11803" width="11.875" style="170" customWidth="1"/>
    <col min="11804" max="11804" width="11.625" style="170" customWidth="1"/>
    <col min="11805" max="11805" width="14.375" style="170" customWidth="1"/>
    <col min="11806" max="12032" width="9.125" style="170"/>
    <col min="12033" max="12033" width="7" style="170" customWidth="1"/>
    <col min="12034" max="12034" width="38" style="170" bestFit="1" customWidth="1"/>
    <col min="12035" max="12035" width="11.25" style="170" bestFit="1" customWidth="1"/>
    <col min="12036" max="12036" width="15.75" style="170" bestFit="1" customWidth="1"/>
    <col min="12037" max="12037" width="10.75" style="170" bestFit="1" customWidth="1"/>
    <col min="12038" max="12038" width="15.75" style="170" bestFit="1" customWidth="1"/>
    <col min="12039" max="12039" width="9.375" style="170" bestFit="1" customWidth="1"/>
    <col min="12040" max="12040" width="5.125" style="170" customWidth="1"/>
    <col min="12041" max="12041" width="5.375" style="170" customWidth="1"/>
    <col min="12042" max="12042" width="4.75" style="170" customWidth="1"/>
    <col min="12043" max="12043" width="8.125" style="170" customWidth="1"/>
    <col min="12044" max="12044" width="12.125" style="170" customWidth="1"/>
    <col min="12045" max="12045" width="9.625" style="170" customWidth="1"/>
    <col min="12046" max="12046" width="11.875" style="170" customWidth="1"/>
    <col min="12047" max="12047" width="11.625" style="170" customWidth="1"/>
    <col min="12048" max="12048" width="14.375" style="170" customWidth="1"/>
    <col min="12049" max="12049" width="8.75" style="170" customWidth="1"/>
    <col min="12050" max="12050" width="10.25" style="170" customWidth="1"/>
    <col min="12051" max="12051" width="7.375" style="170" customWidth="1"/>
    <col min="12052" max="12052" width="6.125" style="170" customWidth="1"/>
    <col min="12053" max="12053" width="5.125" style="170" customWidth="1"/>
    <col min="12054" max="12054" width="5.375" style="170" customWidth="1"/>
    <col min="12055" max="12055" width="4.75" style="170" customWidth="1"/>
    <col min="12056" max="12056" width="8.125" style="170" customWidth="1"/>
    <col min="12057" max="12057" width="12.125" style="170" customWidth="1"/>
    <col min="12058" max="12058" width="9.625" style="170" customWidth="1"/>
    <col min="12059" max="12059" width="11.875" style="170" customWidth="1"/>
    <col min="12060" max="12060" width="11.625" style="170" customWidth="1"/>
    <col min="12061" max="12061" width="14.375" style="170" customWidth="1"/>
    <col min="12062" max="12288" width="9.125" style="170"/>
    <col min="12289" max="12289" width="7" style="170" customWidth="1"/>
    <col min="12290" max="12290" width="38" style="170" bestFit="1" customWidth="1"/>
    <col min="12291" max="12291" width="11.25" style="170" bestFit="1" customWidth="1"/>
    <col min="12292" max="12292" width="15.75" style="170" bestFit="1" customWidth="1"/>
    <col min="12293" max="12293" width="10.75" style="170" bestFit="1" customWidth="1"/>
    <col min="12294" max="12294" width="15.75" style="170" bestFit="1" customWidth="1"/>
    <col min="12295" max="12295" width="9.375" style="170" bestFit="1" customWidth="1"/>
    <col min="12296" max="12296" width="5.125" style="170" customWidth="1"/>
    <col min="12297" max="12297" width="5.375" style="170" customWidth="1"/>
    <col min="12298" max="12298" width="4.75" style="170" customWidth="1"/>
    <col min="12299" max="12299" width="8.125" style="170" customWidth="1"/>
    <col min="12300" max="12300" width="12.125" style="170" customWidth="1"/>
    <col min="12301" max="12301" width="9.625" style="170" customWidth="1"/>
    <col min="12302" max="12302" width="11.875" style="170" customWidth="1"/>
    <col min="12303" max="12303" width="11.625" style="170" customWidth="1"/>
    <col min="12304" max="12304" width="14.375" style="170" customWidth="1"/>
    <col min="12305" max="12305" width="8.75" style="170" customWidth="1"/>
    <col min="12306" max="12306" width="10.25" style="170" customWidth="1"/>
    <col min="12307" max="12307" width="7.375" style="170" customWidth="1"/>
    <col min="12308" max="12308" width="6.125" style="170" customWidth="1"/>
    <col min="12309" max="12309" width="5.125" style="170" customWidth="1"/>
    <col min="12310" max="12310" width="5.375" style="170" customWidth="1"/>
    <col min="12311" max="12311" width="4.75" style="170" customWidth="1"/>
    <col min="12312" max="12312" width="8.125" style="170" customWidth="1"/>
    <col min="12313" max="12313" width="12.125" style="170" customWidth="1"/>
    <col min="12314" max="12314" width="9.625" style="170" customWidth="1"/>
    <col min="12315" max="12315" width="11.875" style="170" customWidth="1"/>
    <col min="12316" max="12316" width="11.625" style="170" customWidth="1"/>
    <col min="12317" max="12317" width="14.375" style="170" customWidth="1"/>
    <col min="12318" max="12544" width="9.125" style="170"/>
    <col min="12545" max="12545" width="7" style="170" customWidth="1"/>
    <col min="12546" max="12546" width="38" style="170" bestFit="1" customWidth="1"/>
    <col min="12547" max="12547" width="11.25" style="170" bestFit="1" customWidth="1"/>
    <col min="12548" max="12548" width="15.75" style="170" bestFit="1" customWidth="1"/>
    <col min="12549" max="12549" width="10.75" style="170" bestFit="1" customWidth="1"/>
    <col min="12550" max="12550" width="15.75" style="170" bestFit="1" customWidth="1"/>
    <col min="12551" max="12551" width="9.375" style="170" bestFit="1" customWidth="1"/>
    <col min="12552" max="12552" width="5.125" style="170" customWidth="1"/>
    <col min="12553" max="12553" width="5.375" style="170" customWidth="1"/>
    <col min="12554" max="12554" width="4.75" style="170" customWidth="1"/>
    <col min="12555" max="12555" width="8.125" style="170" customWidth="1"/>
    <col min="12556" max="12556" width="12.125" style="170" customWidth="1"/>
    <col min="12557" max="12557" width="9.625" style="170" customWidth="1"/>
    <col min="12558" max="12558" width="11.875" style="170" customWidth="1"/>
    <col min="12559" max="12559" width="11.625" style="170" customWidth="1"/>
    <col min="12560" max="12560" width="14.375" style="170" customWidth="1"/>
    <col min="12561" max="12561" width="8.75" style="170" customWidth="1"/>
    <col min="12562" max="12562" width="10.25" style="170" customWidth="1"/>
    <col min="12563" max="12563" width="7.375" style="170" customWidth="1"/>
    <col min="12564" max="12564" width="6.125" style="170" customWidth="1"/>
    <col min="12565" max="12565" width="5.125" style="170" customWidth="1"/>
    <col min="12566" max="12566" width="5.375" style="170" customWidth="1"/>
    <col min="12567" max="12567" width="4.75" style="170" customWidth="1"/>
    <col min="12568" max="12568" width="8.125" style="170" customWidth="1"/>
    <col min="12569" max="12569" width="12.125" style="170" customWidth="1"/>
    <col min="12570" max="12570" width="9.625" style="170" customWidth="1"/>
    <col min="12571" max="12571" width="11.875" style="170" customWidth="1"/>
    <col min="12572" max="12572" width="11.625" style="170" customWidth="1"/>
    <col min="12573" max="12573" width="14.375" style="170" customWidth="1"/>
    <col min="12574" max="12800" width="9.125" style="170"/>
    <col min="12801" max="12801" width="7" style="170" customWidth="1"/>
    <col min="12802" max="12802" width="38" style="170" bestFit="1" customWidth="1"/>
    <col min="12803" max="12803" width="11.25" style="170" bestFit="1" customWidth="1"/>
    <col min="12804" max="12804" width="15.75" style="170" bestFit="1" customWidth="1"/>
    <col min="12805" max="12805" width="10.75" style="170" bestFit="1" customWidth="1"/>
    <col min="12806" max="12806" width="15.75" style="170" bestFit="1" customWidth="1"/>
    <col min="12807" max="12807" width="9.375" style="170" bestFit="1" customWidth="1"/>
    <col min="12808" max="12808" width="5.125" style="170" customWidth="1"/>
    <col min="12809" max="12809" width="5.375" style="170" customWidth="1"/>
    <col min="12810" max="12810" width="4.75" style="170" customWidth="1"/>
    <col min="12811" max="12811" width="8.125" style="170" customWidth="1"/>
    <col min="12812" max="12812" width="12.125" style="170" customWidth="1"/>
    <col min="12813" max="12813" width="9.625" style="170" customWidth="1"/>
    <col min="12814" max="12814" width="11.875" style="170" customWidth="1"/>
    <col min="12815" max="12815" width="11.625" style="170" customWidth="1"/>
    <col min="12816" max="12816" width="14.375" style="170" customWidth="1"/>
    <col min="12817" max="12817" width="8.75" style="170" customWidth="1"/>
    <col min="12818" max="12818" width="10.25" style="170" customWidth="1"/>
    <col min="12819" max="12819" width="7.375" style="170" customWidth="1"/>
    <col min="12820" max="12820" width="6.125" style="170" customWidth="1"/>
    <col min="12821" max="12821" width="5.125" style="170" customWidth="1"/>
    <col min="12822" max="12822" width="5.375" style="170" customWidth="1"/>
    <col min="12823" max="12823" width="4.75" style="170" customWidth="1"/>
    <col min="12824" max="12824" width="8.125" style="170" customWidth="1"/>
    <col min="12825" max="12825" width="12.125" style="170" customWidth="1"/>
    <col min="12826" max="12826" width="9.625" style="170" customWidth="1"/>
    <col min="12827" max="12827" width="11.875" style="170" customWidth="1"/>
    <col min="12828" max="12828" width="11.625" style="170" customWidth="1"/>
    <col min="12829" max="12829" width="14.375" style="170" customWidth="1"/>
    <col min="12830" max="13056" width="9.125" style="170"/>
    <col min="13057" max="13057" width="7" style="170" customWidth="1"/>
    <col min="13058" max="13058" width="38" style="170" bestFit="1" customWidth="1"/>
    <col min="13059" max="13059" width="11.25" style="170" bestFit="1" customWidth="1"/>
    <col min="13060" max="13060" width="15.75" style="170" bestFit="1" customWidth="1"/>
    <col min="13061" max="13061" width="10.75" style="170" bestFit="1" customWidth="1"/>
    <col min="13062" max="13062" width="15.75" style="170" bestFit="1" customWidth="1"/>
    <col min="13063" max="13063" width="9.375" style="170" bestFit="1" customWidth="1"/>
    <col min="13064" max="13064" width="5.125" style="170" customWidth="1"/>
    <col min="13065" max="13065" width="5.375" style="170" customWidth="1"/>
    <col min="13066" max="13066" width="4.75" style="170" customWidth="1"/>
    <col min="13067" max="13067" width="8.125" style="170" customWidth="1"/>
    <col min="13068" max="13068" width="12.125" style="170" customWidth="1"/>
    <col min="13069" max="13069" width="9.625" style="170" customWidth="1"/>
    <col min="13070" max="13070" width="11.875" style="170" customWidth="1"/>
    <col min="13071" max="13071" width="11.625" style="170" customWidth="1"/>
    <col min="13072" max="13072" width="14.375" style="170" customWidth="1"/>
    <col min="13073" max="13073" width="8.75" style="170" customWidth="1"/>
    <col min="13074" max="13074" width="10.25" style="170" customWidth="1"/>
    <col min="13075" max="13075" width="7.375" style="170" customWidth="1"/>
    <col min="13076" max="13076" width="6.125" style="170" customWidth="1"/>
    <col min="13077" max="13077" width="5.125" style="170" customWidth="1"/>
    <col min="13078" max="13078" width="5.375" style="170" customWidth="1"/>
    <col min="13079" max="13079" width="4.75" style="170" customWidth="1"/>
    <col min="13080" max="13080" width="8.125" style="170" customWidth="1"/>
    <col min="13081" max="13081" width="12.125" style="170" customWidth="1"/>
    <col min="13082" max="13082" width="9.625" style="170" customWidth="1"/>
    <col min="13083" max="13083" width="11.875" style="170" customWidth="1"/>
    <col min="13084" max="13084" width="11.625" style="170" customWidth="1"/>
    <col min="13085" max="13085" width="14.375" style="170" customWidth="1"/>
    <col min="13086" max="13312" width="9.125" style="170"/>
    <col min="13313" max="13313" width="7" style="170" customWidth="1"/>
    <col min="13314" max="13314" width="38" style="170" bestFit="1" customWidth="1"/>
    <col min="13315" max="13315" width="11.25" style="170" bestFit="1" customWidth="1"/>
    <col min="13316" max="13316" width="15.75" style="170" bestFit="1" customWidth="1"/>
    <col min="13317" max="13317" width="10.75" style="170" bestFit="1" customWidth="1"/>
    <col min="13318" max="13318" width="15.75" style="170" bestFit="1" customWidth="1"/>
    <col min="13319" max="13319" width="9.375" style="170" bestFit="1" customWidth="1"/>
    <col min="13320" max="13320" width="5.125" style="170" customWidth="1"/>
    <col min="13321" max="13321" width="5.375" style="170" customWidth="1"/>
    <col min="13322" max="13322" width="4.75" style="170" customWidth="1"/>
    <col min="13323" max="13323" width="8.125" style="170" customWidth="1"/>
    <col min="13324" max="13324" width="12.125" style="170" customWidth="1"/>
    <col min="13325" max="13325" width="9.625" style="170" customWidth="1"/>
    <col min="13326" max="13326" width="11.875" style="170" customWidth="1"/>
    <col min="13327" max="13327" width="11.625" style="170" customWidth="1"/>
    <col min="13328" max="13328" width="14.375" style="170" customWidth="1"/>
    <col min="13329" max="13329" width="8.75" style="170" customWidth="1"/>
    <col min="13330" max="13330" width="10.25" style="170" customWidth="1"/>
    <col min="13331" max="13331" width="7.375" style="170" customWidth="1"/>
    <col min="13332" max="13332" width="6.125" style="170" customWidth="1"/>
    <col min="13333" max="13333" width="5.125" style="170" customWidth="1"/>
    <col min="13334" max="13334" width="5.375" style="170" customWidth="1"/>
    <col min="13335" max="13335" width="4.75" style="170" customWidth="1"/>
    <col min="13336" max="13336" width="8.125" style="170" customWidth="1"/>
    <col min="13337" max="13337" width="12.125" style="170" customWidth="1"/>
    <col min="13338" max="13338" width="9.625" style="170" customWidth="1"/>
    <col min="13339" max="13339" width="11.875" style="170" customWidth="1"/>
    <col min="13340" max="13340" width="11.625" style="170" customWidth="1"/>
    <col min="13341" max="13341" width="14.375" style="170" customWidth="1"/>
    <col min="13342" max="13568" width="9.125" style="170"/>
    <col min="13569" max="13569" width="7" style="170" customWidth="1"/>
    <col min="13570" max="13570" width="38" style="170" bestFit="1" customWidth="1"/>
    <col min="13571" max="13571" width="11.25" style="170" bestFit="1" customWidth="1"/>
    <col min="13572" max="13572" width="15.75" style="170" bestFit="1" customWidth="1"/>
    <col min="13573" max="13573" width="10.75" style="170" bestFit="1" customWidth="1"/>
    <col min="13574" max="13574" width="15.75" style="170" bestFit="1" customWidth="1"/>
    <col min="13575" max="13575" width="9.375" style="170" bestFit="1" customWidth="1"/>
    <col min="13576" max="13576" width="5.125" style="170" customWidth="1"/>
    <col min="13577" max="13577" width="5.375" style="170" customWidth="1"/>
    <col min="13578" max="13578" width="4.75" style="170" customWidth="1"/>
    <col min="13579" max="13579" width="8.125" style="170" customWidth="1"/>
    <col min="13580" max="13580" width="12.125" style="170" customWidth="1"/>
    <col min="13581" max="13581" width="9.625" style="170" customWidth="1"/>
    <col min="13582" max="13582" width="11.875" style="170" customWidth="1"/>
    <col min="13583" max="13583" width="11.625" style="170" customWidth="1"/>
    <col min="13584" max="13584" width="14.375" style="170" customWidth="1"/>
    <col min="13585" max="13585" width="8.75" style="170" customWidth="1"/>
    <col min="13586" max="13586" width="10.25" style="170" customWidth="1"/>
    <col min="13587" max="13587" width="7.375" style="170" customWidth="1"/>
    <col min="13588" max="13588" width="6.125" style="170" customWidth="1"/>
    <col min="13589" max="13589" width="5.125" style="170" customWidth="1"/>
    <col min="13590" max="13590" width="5.375" style="170" customWidth="1"/>
    <col min="13591" max="13591" width="4.75" style="170" customWidth="1"/>
    <col min="13592" max="13592" width="8.125" style="170" customWidth="1"/>
    <col min="13593" max="13593" width="12.125" style="170" customWidth="1"/>
    <col min="13594" max="13594" width="9.625" style="170" customWidth="1"/>
    <col min="13595" max="13595" width="11.875" style="170" customWidth="1"/>
    <col min="13596" max="13596" width="11.625" style="170" customWidth="1"/>
    <col min="13597" max="13597" width="14.375" style="170" customWidth="1"/>
    <col min="13598" max="13824" width="9.125" style="170"/>
    <col min="13825" max="13825" width="7" style="170" customWidth="1"/>
    <col min="13826" max="13826" width="38" style="170" bestFit="1" customWidth="1"/>
    <col min="13827" max="13827" width="11.25" style="170" bestFit="1" customWidth="1"/>
    <col min="13828" max="13828" width="15.75" style="170" bestFit="1" customWidth="1"/>
    <col min="13829" max="13829" width="10.75" style="170" bestFit="1" customWidth="1"/>
    <col min="13830" max="13830" width="15.75" style="170" bestFit="1" customWidth="1"/>
    <col min="13831" max="13831" width="9.375" style="170" bestFit="1" customWidth="1"/>
    <col min="13832" max="13832" width="5.125" style="170" customWidth="1"/>
    <col min="13833" max="13833" width="5.375" style="170" customWidth="1"/>
    <col min="13834" max="13834" width="4.75" style="170" customWidth="1"/>
    <col min="13835" max="13835" width="8.125" style="170" customWidth="1"/>
    <col min="13836" max="13836" width="12.125" style="170" customWidth="1"/>
    <col min="13837" max="13837" width="9.625" style="170" customWidth="1"/>
    <col min="13838" max="13838" width="11.875" style="170" customWidth="1"/>
    <col min="13839" max="13839" width="11.625" style="170" customWidth="1"/>
    <col min="13840" max="13840" width="14.375" style="170" customWidth="1"/>
    <col min="13841" max="13841" width="8.75" style="170" customWidth="1"/>
    <col min="13842" max="13842" width="10.25" style="170" customWidth="1"/>
    <col min="13843" max="13843" width="7.375" style="170" customWidth="1"/>
    <col min="13844" max="13844" width="6.125" style="170" customWidth="1"/>
    <col min="13845" max="13845" width="5.125" style="170" customWidth="1"/>
    <col min="13846" max="13846" width="5.375" style="170" customWidth="1"/>
    <col min="13847" max="13847" width="4.75" style="170" customWidth="1"/>
    <col min="13848" max="13848" width="8.125" style="170" customWidth="1"/>
    <col min="13849" max="13849" width="12.125" style="170" customWidth="1"/>
    <col min="13850" max="13850" width="9.625" style="170" customWidth="1"/>
    <col min="13851" max="13851" width="11.875" style="170" customWidth="1"/>
    <col min="13852" max="13852" width="11.625" style="170" customWidth="1"/>
    <col min="13853" max="13853" width="14.375" style="170" customWidth="1"/>
    <col min="13854" max="14080" width="9.125" style="170"/>
    <col min="14081" max="14081" width="7" style="170" customWidth="1"/>
    <col min="14082" max="14082" width="38" style="170" bestFit="1" customWidth="1"/>
    <col min="14083" max="14083" width="11.25" style="170" bestFit="1" customWidth="1"/>
    <col min="14084" max="14084" width="15.75" style="170" bestFit="1" customWidth="1"/>
    <col min="14085" max="14085" width="10.75" style="170" bestFit="1" customWidth="1"/>
    <col min="14086" max="14086" width="15.75" style="170" bestFit="1" customWidth="1"/>
    <col min="14087" max="14087" width="9.375" style="170" bestFit="1" customWidth="1"/>
    <col min="14088" max="14088" width="5.125" style="170" customWidth="1"/>
    <col min="14089" max="14089" width="5.375" style="170" customWidth="1"/>
    <col min="14090" max="14090" width="4.75" style="170" customWidth="1"/>
    <col min="14091" max="14091" width="8.125" style="170" customWidth="1"/>
    <col min="14092" max="14092" width="12.125" style="170" customWidth="1"/>
    <col min="14093" max="14093" width="9.625" style="170" customWidth="1"/>
    <col min="14094" max="14094" width="11.875" style="170" customWidth="1"/>
    <col min="14095" max="14095" width="11.625" style="170" customWidth="1"/>
    <col min="14096" max="14096" width="14.375" style="170" customWidth="1"/>
    <col min="14097" max="14097" width="8.75" style="170" customWidth="1"/>
    <col min="14098" max="14098" width="10.25" style="170" customWidth="1"/>
    <col min="14099" max="14099" width="7.375" style="170" customWidth="1"/>
    <col min="14100" max="14100" width="6.125" style="170" customWidth="1"/>
    <col min="14101" max="14101" width="5.125" style="170" customWidth="1"/>
    <col min="14102" max="14102" width="5.375" style="170" customWidth="1"/>
    <col min="14103" max="14103" width="4.75" style="170" customWidth="1"/>
    <col min="14104" max="14104" width="8.125" style="170" customWidth="1"/>
    <col min="14105" max="14105" width="12.125" style="170" customWidth="1"/>
    <col min="14106" max="14106" width="9.625" style="170" customWidth="1"/>
    <col min="14107" max="14107" width="11.875" style="170" customWidth="1"/>
    <col min="14108" max="14108" width="11.625" style="170" customWidth="1"/>
    <col min="14109" max="14109" width="14.375" style="170" customWidth="1"/>
    <col min="14110" max="14336" width="9.125" style="170"/>
    <col min="14337" max="14337" width="7" style="170" customWidth="1"/>
    <col min="14338" max="14338" width="38" style="170" bestFit="1" customWidth="1"/>
    <col min="14339" max="14339" width="11.25" style="170" bestFit="1" customWidth="1"/>
    <col min="14340" max="14340" width="15.75" style="170" bestFit="1" customWidth="1"/>
    <col min="14341" max="14341" width="10.75" style="170" bestFit="1" customWidth="1"/>
    <col min="14342" max="14342" width="15.75" style="170" bestFit="1" customWidth="1"/>
    <col min="14343" max="14343" width="9.375" style="170" bestFit="1" customWidth="1"/>
    <col min="14344" max="14344" width="5.125" style="170" customWidth="1"/>
    <col min="14345" max="14345" width="5.375" style="170" customWidth="1"/>
    <col min="14346" max="14346" width="4.75" style="170" customWidth="1"/>
    <col min="14347" max="14347" width="8.125" style="170" customWidth="1"/>
    <col min="14348" max="14348" width="12.125" style="170" customWidth="1"/>
    <col min="14349" max="14349" width="9.625" style="170" customWidth="1"/>
    <col min="14350" max="14350" width="11.875" style="170" customWidth="1"/>
    <col min="14351" max="14351" width="11.625" style="170" customWidth="1"/>
    <col min="14352" max="14352" width="14.375" style="170" customWidth="1"/>
    <col min="14353" max="14353" width="8.75" style="170" customWidth="1"/>
    <col min="14354" max="14354" width="10.25" style="170" customWidth="1"/>
    <col min="14355" max="14355" width="7.375" style="170" customWidth="1"/>
    <col min="14356" max="14356" width="6.125" style="170" customWidth="1"/>
    <col min="14357" max="14357" width="5.125" style="170" customWidth="1"/>
    <col min="14358" max="14358" width="5.375" style="170" customWidth="1"/>
    <col min="14359" max="14359" width="4.75" style="170" customWidth="1"/>
    <col min="14360" max="14360" width="8.125" style="170" customWidth="1"/>
    <col min="14361" max="14361" width="12.125" style="170" customWidth="1"/>
    <col min="14362" max="14362" width="9.625" style="170" customWidth="1"/>
    <col min="14363" max="14363" width="11.875" style="170" customWidth="1"/>
    <col min="14364" max="14364" width="11.625" style="170" customWidth="1"/>
    <col min="14365" max="14365" width="14.375" style="170" customWidth="1"/>
    <col min="14366" max="14592" width="9.125" style="170"/>
    <col min="14593" max="14593" width="7" style="170" customWidth="1"/>
    <col min="14594" max="14594" width="38" style="170" bestFit="1" customWidth="1"/>
    <col min="14595" max="14595" width="11.25" style="170" bestFit="1" customWidth="1"/>
    <col min="14596" max="14596" width="15.75" style="170" bestFit="1" customWidth="1"/>
    <col min="14597" max="14597" width="10.75" style="170" bestFit="1" customWidth="1"/>
    <col min="14598" max="14598" width="15.75" style="170" bestFit="1" customWidth="1"/>
    <col min="14599" max="14599" width="9.375" style="170" bestFit="1" customWidth="1"/>
    <col min="14600" max="14600" width="5.125" style="170" customWidth="1"/>
    <col min="14601" max="14601" width="5.375" style="170" customWidth="1"/>
    <col min="14602" max="14602" width="4.75" style="170" customWidth="1"/>
    <col min="14603" max="14603" width="8.125" style="170" customWidth="1"/>
    <col min="14604" max="14604" width="12.125" style="170" customWidth="1"/>
    <col min="14605" max="14605" width="9.625" style="170" customWidth="1"/>
    <col min="14606" max="14606" width="11.875" style="170" customWidth="1"/>
    <col min="14607" max="14607" width="11.625" style="170" customWidth="1"/>
    <col min="14608" max="14608" width="14.375" style="170" customWidth="1"/>
    <col min="14609" max="14609" width="8.75" style="170" customWidth="1"/>
    <col min="14610" max="14610" width="10.25" style="170" customWidth="1"/>
    <col min="14611" max="14611" width="7.375" style="170" customWidth="1"/>
    <col min="14612" max="14612" width="6.125" style="170" customWidth="1"/>
    <col min="14613" max="14613" width="5.125" style="170" customWidth="1"/>
    <col min="14614" max="14614" width="5.375" style="170" customWidth="1"/>
    <col min="14615" max="14615" width="4.75" style="170" customWidth="1"/>
    <col min="14616" max="14616" width="8.125" style="170" customWidth="1"/>
    <col min="14617" max="14617" width="12.125" style="170" customWidth="1"/>
    <col min="14618" max="14618" width="9.625" style="170" customWidth="1"/>
    <col min="14619" max="14619" width="11.875" style="170" customWidth="1"/>
    <col min="14620" max="14620" width="11.625" style="170" customWidth="1"/>
    <col min="14621" max="14621" width="14.375" style="170" customWidth="1"/>
    <col min="14622" max="14848" width="9.125" style="170"/>
    <col min="14849" max="14849" width="7" style="170" customWidth="1"/>
    <col min="14850" max="14850" width="38" style="170" bestFit="1" customWidth="1"/>
    <col min="14851" max="14851" width="11.25" style="170" bestFit="1" customWidth="1"/>
    <col min="14852" max="14852" width="15.75" style="170" bestFit="1" customWidth="1"/>
    <col min="14853" max="14853" width="10.75" style="170" bestFit="1" customWidth="1"/>
    <col min="14854" max="14854" width="15.75" style="170" bestFit="1" customWidth="1"/>
    <col min="14855" max="14855" width="9.375" style="170" bestFit="1" customWidth="1"/>
    <col min="14856" max="14856" width="5.125" style="170" customWidth="1"/>
    <col min="14857" max="14857" width="5.375" style="170" customWidth="1"/>
    <col min="14858" max="14858" width="4.75" style="170" customWidth="1"/>
    <col min="14859" max="14859" width="8.125" style="170" customWidth="1"/>
    <col min="14860" max="14860" width="12.125" style="170" customWidth="1"/>
    <col min="14861" max="14861" width="9.625" style="170" customWidth="1"/>
    <col min="14862" max="14862" width="11.875" style="170" customWidth="1"/>
    <col min="14863" max="14863" width="11.625" style="170" customWidth="1"/>
    <col min="14864" max="14864" width="14.375" style="170" customWidth="1"/>
    <col min="14865" max="14865" width="8.75" style="170" customWidth="1"/>
    <col min="14866" max="14866" width="10.25" style="170" customWidth="1"/>
    <col min="14867" max="14867" width="7.375" style="170" customWidth="1"/>
    <col min="14868" max="14868" width="6.125" style="170" customWidth="1"/>
    <col min="14869" max="14869" width="5.125" style="170" customWidth="1"/>
    <col min="14870" max="14870" width="5.375" style="170" customWidth="1"/>
    <col min="14871" max="14871" width="4.75" style="170" customWidth="1"/>
    <col min="14872" max="14872" width="8.125" style="170" customWidth="1"/>
    <col min="14873" max="14873" width="12.125" style="170" customWidth="1"/>
    <col min="14874" max="14874" width="9.625" style="170" customWidth="1"/>
    <col min="14875" max="14875" width="11.875" style="170" customWidth="1"/>
    <col min="14876" max="14876" width="11.625" style="170" customWidth="1"/>
    <col min="14877" max="14877" width="14.375" style="170" customWidth="1"/>
    <col min="14878" max="15104" width="9.125" style="170"/>
    <col min="15105" max="15105" width="7" style="170" customWidth="1"/>
    <col min="15106" max="15106" width="38" style="170" bestFit="1" customWidth="1"/>
    <col min="15107" max="15107" width="11.25" style="170" bestFit="1" customWidth="1"/>
    <col min="15108" max="15108" width="15.75" style="170" bestFit="1" customWidth="1"/>
    <col min="15109" max="15109" width="10.75" style="170" bestFit="1" customWidth="1"/>
    <col min="15110" max="15110" width="15.75" style="170" bestFit="1" customWidth="1"/>
    <col min="15111" max="15111" width="9.375" style="170" bestFit="1" customWidth="1"/>
    <col min="15112" max="15112" width="5.125" style="170" customWidth="1"/>
    <col min="15113" max="15113" width="5.375" style="170" customWidth="1"/>
    <col min="15114" max="15114" width="4.75" style="170" customWidth="1"/>
    <col min="15115" max="15115" width="8.125" style="170" customWidth="1"/>
    <col min="15116" max="15116" width="12.125" style="170" customWidth="1"/>
    <col min="15117" max="15117" width="9.625" style="170" customWidth="1"/>
    <col min="15118" max="15118" width="11.875" style="170" customWidth="1"/>
    <col min="15119" max="15119" width="11.625" style="170" customWidth="1"/>
    <col min="15120" max="15120" width="14.375" style="170" customWidth="1"/>
    <col min="15121" max="15121" width="8.75" style="170" customWidth="1"/>
    <col min="15122" max="15122" width="10.25" style="170" customWidth="1"/>
    <col min="15123" max="15123" width="7.375" style="170" customWidth="1"/>
    <col min="15124" max="15124" width="6.125" style="170" customWidth="1"/>
    <col min="15125" max="15125" width="5.125" style="170" customWidth="1"/>
    <col min="15126" max="15126" width="5.375" style="170" customWidth="1"/>
    <col min="15127" max="15127" width="4.75" style="170" customWidth="1"/>
    <col min="15128" max="15128" width="8.125" style="170" customWidth="1"/>
    <col min="15129" max="15129" width="12.125" style="170" customWidth="1"/>
    <col min="15130" max="15130" width="9.625" style="170" customWidth="1"/>
    <col min="15131" max="15131" width="11.875" style="170" customWidth="1"/>
    <col min="15132" max="15132" width="11.625" style="170" customWidth="1"/>
    <col min="15133" max="15133" width="14.375" style="170" customWidth="1"/>
    <col min="15134" max="15360" width="9.125" style="170"/>
    <col min="15361" max="15361" width="7" style="170" customWidth="1"/>
    <col min="15362" max="15362" width="38" style="170" bestFit="1" customWidth="1"/>
    <col min="15363" max="15363" width="11.25" style="170" bestFit="1" customWidth="1"/>
    <col min="15364" max="15364" width="15.75" style="170" bestFit="1" customWidth="1"/>
    <col min="15365" max="15365" width="10.75" style="170" bestFit="1" customWidth="1"/>
    <col min="15366" max="15366" width="15.75" style="170" bestFit="1" customWidth="1"/>
    <col min="15367" max="15367" width="9.375" style="170" bestFit="1" customWidth="1"/>
    <col min="15368" max="15368" width="5.125" style="170" customWidth="1"/>
    <col min="15369" max="15369" width="5.375" style="170" customWidth="1"/>
    <col min="15370" max="15370" width="4.75" style="170" customWidth="1"/>
    <col min="15371" max="15371" width="8.125" style="170" customWidth="1"/>
    <col min="15372" max="15372" width="12.125" style="170" customWidth="1"/>
    <col min="15373" max="15373" width="9.625" style="170" customWidth="1"/>
    <col min="15374" max="15374" width="11.875" style="170" customWidth="1"/>
    <col min="15375" max="15375" width="11.625" style="170" customWidth="1"/>
    <col min="15376" max="15376" width="14.375" style="170" customWidth="1"/>
    <col min="15377" max="15377" width="8.75" style="170" customWidth="1"/>
    <col min="15378" max="15378" width="10.25" style="170" customWidth="1"/>
    <col min="15379" max="15379" width="7.375" style="170" customWidth="1"/>
    <col min="15380" max="15380" width="6.125" style="170" customWidth="1"/>
    <col min="15381" max="15381" width="5.125" style="170" customWidth="1"/>
    <col min="15382" max="15382" width="5.375" style="170" customWidth="1"/>
    <col min="15383" max="15383" width="4.75" style="170" customWidth="1"/>
    <col min="15384" max="15384" width="8.125" style="170" customWidth="1"/>
    <col min="15385" max="15385" width="12.125" style="170" customWidth="1"/>
    <col min="15386" max="15386" width="9.625" style="170" customWidth="1"/>
    <col min="15387" max="15387" width="11.875" style="170" customWidth="1"/>
    <col min="15388" max="15388" width="11.625" style="170" customWidth="1"/>
    <col min="15389" max="15389" width="14.375" style="170" customWidth="1"/>
    <col min="15390" max="15616" width="9.125" style="170"/>
    <col min="15617" max="15617" width="7" style="170" customWidth="1"/>
    <col min="15618" max="15618" width="38" style="170" bestFit="1" customWidth="1"/>
    <col min="15619" max="15619" width="11.25" style="170" bestFit="1" customWidth="1"/>
    <col min="15620" max="15620" width="15.75" style="170" bestFit="1" customWidth="1"/>
    <col min="15621" max="15621" width="10.75" style="170" bestFit="1" customWidth="1"/>
    <col min="15622" max="15622" width="15.75" style="170" bestFit="1" customWidth="1"/>
    <col min="15623" max="15623" width="9.375" style="170" bestFit="1" customWidth="1"/>
    <col min="15624" max="15624" width="5.125" style="170" customWidth="1"/>
    <col min="15625" max="15625" width="5.375" style="170" customWidth="1"/>
    <col min="15626" max="15626" width="4.75" style="170" customWidth="1"/>
    <col min="15627" max="15627" width="8.125" style="170" customWidth="1"/>
    <col min="15628" max="15628" width="12.125" style="170" customWidth="1"/>
    <col min="15629" max="15629" width="9.625" style="170" customWidth="1"/>
    <col min="15630" max="15630" width="11.875" style="170" customWidth="1"/>
    <col min="15631" max="15631" width="11.625" style="170" customWidth="1"/>
    <col min="15632" max="15632" width="14.375" style="170" customWidth="1"/>
    <col min="15633" max="15633" width="8.75" style="170" customWidth="1"/>
    <col min="15634" max="15634" width="10.25" style="170" customWidth="1"/>
    <col min="15635" max="15635" width="7.375" style="170" customWidth="1"/>
    <col min="15636" max="15636" width="6.125" style="170" customWidth="1"/>
    <col min="15637" max="15637" width="5.125" style="170" customWidth="1"/>
    <col min="15638" max="15638" width="5.375" style="170" customWidth="1"/>
    <col min="15639" max="15639" width="4.75" style="170" customWidth="1"/>
    <col min="15640" max="15640" width="8.125" style="170" customWidth="1"/>
    <col min="15641" max="15641" width="12.125" style="170" customWidth="1"/>
    <col min="15642" max="15642" width="9.625" style="170" customWidth="1"/>
    <col min="15643" max="15643" width="11.875" style="170" customWidth="1"/>
    <col min="15644" max="15644" width="11.625" style="170" customWidth="1"/>
    <col min="15645" max="15645" width="14.375" style="170" customWidth="1"/>
    <col min="15646" max="15872" width="9.125" style="170"/>
    <col min="15873" max="15873" width="7" style="170" customWidth="1"/>
    <col min="15874" max="15874" width="38" style="170" bestFit="1" customWidth="1"/>
    <col min="15875" max="15875" width="11.25" style="170" bestFit="1" customWidth="1"/>
    <col min="15876" max="15876" width="15.75" style="170" bestFit="1" customWidth="1"/>
    <col min="15877" max="15877" width="10.75" style="170" bestFit="1" customWidth="1"/>
    <col min="15878" max="15878" width="15.75" style="170" bestFit="1" customWidth="1"/>
    <col min="15879" max="15879" width="9.375" style="170" bestFit="1" customWidth="1"/>
    <col min="15880" max="15880" width="5.125" style="170" customWidth="1"/>
    <col min="15881" max="15881" width="5.375" style="170" customWidth="1"/>
    <col min="15882" max="15882" width="4.75" style="170" customWidth="1"/>
    <col min="15883" max="15883" width="8.125" style="170" customWidth="1"/>
    <col min="15884" max="15884" width="12.125" style="170" customWidth="1"/>
    <col min="15885" max="15885" width="9.625" style="170" customWidth="1"/>
    <col min="15886" max="15886" width="11.875" style="170" customWidth="1"/>
    <col min="15887" max="15887" width="11.625" style="170" customWidth="1"/>
    <col min="15888" max="15888" width="14.375" style="170" customWidth="1"/>
    <col min="15889" max="15889" width="8.75" style="170" customWidth="1"/>
    <col min="15890" max="15890" width="10.25" style="170" customWidth="1"/>
    <col min="15891" max="15891" width="7.375" style="170" customWidth="1"/>
    <col min="15892" max="15892" width="6.125" style="170" customWidth="1"/>
    <col min="15893" max="15893" width="5.125" style="170" customWidth="1"/>
    <col min="15894" max="15894" width="5.375" style="170" customWidth="1"/>
    <col min="15895" max="15895" width="4.75" style="170" customWidth="1"/>
    <col min="15896" max="15896" width="8.125" style="170" customWidth="1"/>
    <col min="15897" max="15897" width="12.125" style="170" customWidth="1"/>
    <col min="15898" max="15898" width="9.625" style="170" customWidth="1"/>
    <col min="15899" max="15899" width="11.875" style="170" customWidth="1"/>
    <col min="15900" max="15900" width="11.625" style="170" customWidth="1"/>
    <col min="15901" max="15901" width="14.375" style="170" customWidth="1"/>
    <col min="15902" max="16128" width="9.125" style="170"/>
    <col min="16129" max="16129" width="7" style="170" customWidth="1"/>
    <col min="16130" max="16130" width="38" style="170" bestFit="1" customWidth="1"/>
    <col min="16131" max="16131" width="11.25" style="170" bestFit="1" customWidth="1"/>
    <col min="16132" max="16132" width="15.75" style="170" bestFit="1" customWidth="1"/>
    <col min="16133" max="16133" width="10.75" style="170" bestFit="1" customWidth="1"/>
    <col min="16134" max="16134" width="15.75" style="170" bestFit="1" customWidth="1"/>
    <col min="16135" max="16135" width="9.375" style="170" bestFit="1" customWidth="1"/>
    <col min="16136" max="16136" width="5.125" style="170" customWidth="1"/>
    <col min="16137" max="16137" width="5.375" style="170" customWidth="1"/>
    <col min="16138" max="16138" width="4.75" style="170" customWidth="1"/>
    <col min="16139" max="16139" width="8.125" style="170" customWidth="1"/>
    <col min="16140" max="16140" width="12.125" style="170" customWidth="1"/>
    <col min="16141" max="16141" width="9.625" style="170" customWidth="1"/>
    <col min="16142" max="16142" width="11.875" style="170" customWidth="1"/>
    <col min="16143" max="16143" width="11.625" style="170" customWidth="1"/>
    <col min="16144" max="16144" width="14.375" style="170" customWidth="1"/>
    <col min="16145" max="16145" width="8.75" style="170" customWidth="1"/>
    <col min="16146" max="16146" width="10.25" style="170" customWidth="1"/>
    <col min="16147" max="16147" width="7.375" style="170" customWidth="1"/>
    <col min="16148" max="16148" width="6.125" style="170" customWidth="1"/>
    <col min="16149" max="16149" width="5.125" style="170" customWidth="1"/>
    <col min="16150" max="16150" width="5.375" style="170" customWidth="1"/>
    <col min="16151" max="16151" width="4.75" style="170" customWidth="1"/>
    <col min="16152" max="16152" width="8.125" style="170" customWidth="1"/>
    <col min="16153" max="16153" width="12.125" style="170" customWidth="1"/>
    <col min="16154" max="16154" width="9.625" style="170" customWidth="1"/>
    <col min="16155" max="16155" width="11.875" style="170" customWidth="1"/>
    <col min="16156" max="16156" width="11.625" style="170" customWidth="1"/>
    <col min="16157" max="16157" width="14.375" style="170" customWidth="1"/>
    <col min="16158" max="16384" width="9.125" style="170"/>
  </cols>
  <sheetData>
    <row r="2" spans="1:29" x14ac:dyDescent="0.35">
      <c r="B2" s="121" t="s">
        <v>89</v>
      </c>
      <c r="C2" s="122"/>
      <c r="D2" s="123"/>
      <c r="E2" s="122"/>
      <c r="F2" s="123"/>
      <c r="G2" s="122"/>
    </row>
    <row r="3" spans="1:29" x14ac:dyDescent="0.35">
      <c r="B3" s="123"/>
      <c r="C3" s="122"/>
      <c r="D3" s="123"/>
    </row>
    <row r="4" spans="1:29" x14ac:dyDescent="0.35">
      <c r="A4" s="171"/>
      <c r="B4" s="124" t="s">
        <v>7</v>
      </c>
      <c r="C4" s="172" t="s">
        <v>8</v>
      </c>
      <c r="D4" s="172"/>
      <c r="E4" s="171"/>
      <c r="F4" s="171"/>
      <c r="G4" s="171"/>
      <c r="H4" s="171"/>
      <c r="I4" s="171"/>
      <c r="J4" s="171"/>
      <c r="K4" s="171"/>
      <c r="L4" s="171"/>
      <c r="M4" s="171"/>
      <c r="N4" s="171"/>
      <c r="O4" s="171"/>
      <c r="P4" s="171"/>
      <c r="Q4" s="171"/>
      <c r="R4" s="171"/>
      <c r="S4" s="171"/>
      <c r="T4" s="171"/>
      <c r="U4" s="171"/>
      <c r="V4" s="171"/>
      <c r="W4" s="171"/>
      <c r="X4" s="171"/>
      <c r="Y4" s="171"/>
    </row>
    <row r="5" spans="1:29" x14ac:dyDescent="0.35">
      <c r="A5" s="127"/>
      <c r="B5" s="125" t="str">
        <f>IF(ISBLANK(Directions!C6), "Owner", Directions!C6)</f>
        <v>Owner</v>
      </c>
      <c r="C5" s="173" t="str">
        <f>IF(ISBLANK(Directions!D6), "Company 1", Directions!D6)</f>
        <v>Company 1</v>
      </c>
      <c r="D5" s="173"/>
      <c r="E5" s="174"/>
      <c r="F5" s="175"/>
      <c r="G5" s="174"/>
      <c r="H5" s="176"/>
      <c r="I5" s="176"/>
      <c r="J5" s="176"/>
      <c r="K5" s="176"/>
      <c r="L5" s="176"/>
      <c r="M5" s="176"/>
      <c r="N5" s="176"/>
      <c r="O5" s="176"/>
      <c r="P5" s="177"/>
      <c r="Q5" s="176"/>
      <c r="R5" s="176"/>
      <c r="S5" s="176"/>
      <c r="T5" s="176"/>
      <c r="U5" s="176"/>
      <c r="V5" s="176"/>
      <c r="W5" s="176"/>
      <c r="X5" s="176"/>
      <c r="Y5" s="176"/>
      <c r="Z5" s="176"/>
      <c r="AA5" s="176"/>
      <c r="AB5" s="176"/>
      <c r="AC5" s="177"/>
    </row>
    <row r="6" spans="1:29" x14ac:dyDescent="0.35">
      <c r="A6" s="127"/>
      <c r="H6" s="176"/>
      <c r="I6" s="176"/>
      <c r="J6" s="176"/>
      <c r="K6" s="176"/>
      <c r="L6" s="176"/>
      <c r="M6" s="176"/>
      <c r="N6" s="176"/>
      <c r="O6" s="176"/>
      <c r="P6" s="177"/>
      <c r="Q6" s="176"/>
      <c r="R6" s="176"/>
      <c r="S6" s="176"/>
      <c r="T6" s="176"/>
      <c r="U6" s="176"/>
      <c r="V6" s="176"/>
      <c r="W6" s="176"/>
      <c r="X6" s="176"/>
      <c r="Y6" s="176"/>
      <c r="Z6" s="176"/>
      <c r="AA6" s="176"/>
      <c r="AB6" s="176"/>
      <c r="AC6" s="177"/>
    </row>
    <row r="7" spans="1:29" x14ac:dyDescent="0.35">
      <c r="A7" s="127"/>
      <c r="H7" s="176"/>
      <c r="I7" s="176"/>
      <c r="J7" s="176"/>
      <c r="K7" s="176"/>
      <c r="L7" s="176"/>
      <c r="M7" s="176"/>
      <c r="N7" s="176"/>
      <c r="O7" s="176"/>
      <c r="P7" s="177"/>
      <c r="Q7" s="176"/>
      <c r="R7" s="176"/>
      <c r="S7" s="176"/>
      <c r="T7" s="176"/>
      <c r="U7" s="176"/>
      <c r="V7" s="176"/>
      <c r="W7" s="176"/>
      <c r="X7" s="176"/>
      <c r="Y7" s="176"/>
      <c r="Z7" s="176"/>
      <c r="AA7" s="176"/>
      <c r="AB7" s="176"/>
      <c r="AC7" s="177"/>
    </row>
    <row r="8" spans="1:29" ht="19.899999999999999" customHeight="1" thickBot="1" x14ac:dyDescent="0.4">
      <c r="A8" s="127"/>
      <c r="B8" s="129" t="s">
        <v>63</v>
      </c>
      <c r="C8" s="129" t="s">
        <v>90</v>
      </c>
      <c r="D8" s="129" t="s">
        <v>91</v>
      </c>
      <c r="E8" s="178" t="str">
        <f>IF(Directions!G3&gt;0,Directions!G3+1,"Second Year")</f>
        <v>Second Year</v>
      </c>
      <c r="F8" s="129" t="s">
        <v>92</v>
      </c>
      <c r="G8" s="178" t="str">
        <f>IF(Directions!G3&gt;0,Directions!G3+2,"Third Year")</f>
        <v>Third Year</v>
      </c>
      <c r="H8" s="176"/>
      <c r="I8" s="176"/>
      <c r="J8" s="176"/>
      <c r="K8" s="176"/>
      <c r="L8" s="176"/>
      <c r="M8" s="176"/>
      <c r="N8" s="176"/>
      <c r="O8" s="176"/>
      <c r="P8" s="177"/>
      <c r="Q8" s="176"/>
      <c r="R8" s="176"/>
      <c r="S8" s="176"/>
      <c r="T8" s="176"/>
      <c r="U8" s="176"/>
      <c r="V8" s="176"/>
      <c r="W8" s="176"/>
      <c r="X8" s="176"/>
      <c r="Y8" s="176"/>
      <c r="Z8" s="176"/>
      <c r="AA8" s="176"/>
      <c r="AB8" s="176"/>
      <c r="AC8" s="177"/>
    </row>
    <row r="9" spans="1:29" ht="16.5" thickTop="1" x14ac:dyDescent="0.35">
      <c r="A9" s="179"/>
      <c r="B9" s="131" t="s">
        <v>69</v>
      </c>
      <c r="C9" s="180">
        <f>'2a-PayrollYear1'!R8</f>
        <v>0</v>
      </c>
      <c r="D9" s="181">
        <v>0.2</v>
      </c>
      <c r="E9" s="182">
        <f>C9*D9+C9</f>
        <v>0</v>
      </c>
      <c r="F9" s="181">
        <v>0.3</v>
      </c>
      <c r="G9" s="182">
        <f>E9*F9+E9</f>
        <v>0</v>
      </c>
      <c r="H9" s="177"/>
      <c r="I9" s="177"/>
      <c r="J9" s="177"/>
      <c r="K9" s="177"/>
      <c r="L9" s="177"/>
      <c r="M9" s="177"/>
      <c r="N9" s="177"/>
      <c r="O9" s="177"/>
      <c r="P9" s="177"/>
      <c r="Q9" s="177"/>
      <c r="R9" s="177"/>
      <c r="S9" s="177"/>
      <c r="T9" s="177"/>
      <c r="U9" s="177"/>
      <c r="V9" s="177"/>
      <c r="W9" s="177"/>
      <c r="X9" s="177"/>
      <c r="Y9" s="177"/>
      <c r="Z9" s="177"/>
      <c r="AA9" s="177"/>
      <c r="AB9" s="177"/>
      <c r="AC9" s="177"/>
    </row>
    <row r="10" spans="1:29" x14ac:dyDescent="0.35">
      <c r="A10" s="183"/>
      <c r="B10" s="138" t="s">
        <v>70</v>
      </c>
      <c r="C10" s="184">
        <f>'2a-PayrollYear1'!R9</f>
        <v>0</v>
      </c>
      <c r="D10" s="185">
        <v>0.2</v>
      </c>
      <c r="E10" s="186">
        <f>C10*D10+C10</f>
        <v>0</v>
      </c>
      <c r="F10" s="185">
        <v>0.3</v>
      </c>
      <c r="G10" s="186">
        <f>E10*F10+E10</f>
        <v>0</v>
      </c>
      <c r="H10" s="119"/>
      <c r="I10" s="119"/>
      <c r="J10" s="119"/>
      <c r="K10" s="119"/>
      <c r="L10" s="119"/>
      <c r="M10" s="119"/>
      <c r="N10" s="119"/>
      <c r="O10" s="119"/>
      <c r="P10" s="187"/>
      <c r="Q10" s="127"/>
      <c r="R10" s="127"/>
      <c r="S10" s="127"/>
      <c r="T10" s="119"/>
      <c r="U10" s="119"/>
      <c r="V10" s="119"/>
      <c r="W10" s="119"/>
      <c r="X10" s="119"/>
      <c r="Y10" s="119"/>
      <c r="Z10" s="119"/>
      <c r="AA10" s="119"/>
      <c r="AB10" s="119"/>
      <c r="AC10" s="187"/>
    </row>
    <row r="11" spans="1:29" x14ac:dyDescent="0.35">
      <c r="A11" s="171"/>
      <c r="B11" s="138" t="s">
        <v>71</v>
      </c>
      <c r="C11" s="184">
        <f>'2a-PayrollYear1'!R10</f>
        <v>0</v>
      </c>
      <c r="D11" s="185">
        <v>0.1</v>
      </c>
      <c r="E11" s="186">
        <f>C11*D11+C11</f>
        <v>0</v>
      </c>
      <c r="F11" s="185">
        <v>0.3</v>
      </c>
      <c r="G11" s="186">
        <f>E11*F11+E11</f>
        <v>0</v>
      </c>
      <c r="H11" s="171"/>
      <c r="I11" s="171"/>
      <c r="J11" s="171"/>
      <c r="K11" s="171"/>
      <c r="L11" s="171"/>
      <c r="M11" s="171"/>
      <c r="N11" s="171"/>
      <c r="O11" s="171"/>
      <c r="P11" s="171"/>
      <c r="Q11" s="171"/>
      <c r="R11" s="171"/>
      <c r="S11" s="171"/>
      <c r="T11" s="171"/>
      <c r="U11" s="171"/>
      <c r="V11" s="171"/>
      <c r="W11" s="171"/>
      <c r="X11" s="171"/>
      <c r="Y11" s="171"/>
      <c r="Z11" s="171"/>
      <c r="AA11" s="171"/>
      <c r="AB11" s="171"/>
      <c r="AC11" s="171"/>
    </row>
    <row r="12" spans="1:29" x14ac:dyDescent="0.35">
      <c r="A12" s="127"/>
      <c r="B12" s="138" t="s">
        <v>72</v>
      </c>
      <c r="C12" s="184">
        <f>'2a-PayrollYear1'!R11</f>
        <v>0</v>
      </c>
      <c r="D12" s="185">
        <v>0.03</v>
      </c>
      <c r="E12" s="186">
        <f>C12*D12+C12</f>
        <v>0</v>
      </c>
      <c r="F12" s="185">
        <v>0.03</v>
      </c>
      <c r="G12" s="186">
        <f>E12*F12+E12</f>
        <v>0</v>
      </c>
      <c r="H12" s="176"/>
      <c r="I12" s="176"/>
      <c r="J12" s="176"/>
      <c r="K12" s="176"/>
      <c r="L12" s="176"/>
      <c r="M12" s="176"/>
      <c r="N12" s="176"/>
      <c r="O12" s="176"/>
      <c r="P12" s="177"/>
      <c r="Q12" s="176"/>
      <c r="R12" s="176"/>
      <c r="S12" s="176"/>
      <c r="T12" s="176"/>
      <c r="U12" s="176"/>
      <c r="V12" s="176"/>
      <c r="W12" s="176"/>
      <c r="X12" s="176"/>
      <c r="Y12" s="176"/>
      <c r="Z12" s="176"/>
      <c r="AA12" s="176"/>
      <c r="AB12" s="176"/>
      <c r="AC12" s="177"/>
    </row>
    <row r="13" spans="1:29" x14ac:dyDescent="0.35">
      <c r="A13" s="127"/>
      <c r="B13" s="145" t="s">
        <v>73</v>
      </c>
      <c r="C13" s="144">
        <f>SUM(C9:C12)</f>
        <v>0</v>
      </c>
      <c r="D13" s="188"/>
      <c r="E13" s="189">
        <f>SUM(E9:E12)</f>
        <v>0</v>
      </c>
      <c r="F13" s="188"/>
      <c r="G13" s="189">
        <f>SUM(G9:G12)</f>
        <v>0</v>
      </c>
      <c r="H13" s="176"/>
      <c r="I13" s="176"/>
      <c r="J13" s="176"/>
      <c r="K13" s="176"/>
      <c r="L13" s="176"/>
      <c r="M13" s="176"/>
      <c r="N13" s="176"/>
      <c r="O13" s="176"/>
      <c r="P13" s="177"/>
      <c r="Q13" s="176"/>
      <c r="R13" s="176"/>
      <c r="S13" s="176"/>
      <c r="T13" s="176"/>
      <c r="U13" s="176"/>
      <c r="V13" s="176"/>
      <c r="W13" s="176"/>
      <c r="X13" s="176"/>
      <c r="Y13" s="176"/>
      <c r="Z13" s="176"/>
      <c r="AA13" s="176"/>
      <c r="AB13" s="176"/>
      <c r="AC13" s="177"/>
    </row>
    <row r="14" spans="1:29" x14ac:dyDescent="0.35">
      <c r="A14" s="127"/>
      <c r="B14" s="145"/>
      <c r="C14" s="190"/>
      <c r="D14" s="188"/>
      <c r="E14" s="186"/>
      <c r="F14" s="188"/>
      <c r="G14" s="186"/>
      <c r="H14" s="176"/>
      <c r="I14" s="176"/>
      <c r="J14" s="176"/>
      <c r="K14" s="176"/>
      <c r="L14" s="176"/>
      <c r="M14" s="176"/>
      <c r="N14" s="176"/>
      <c r="O14" s="176"/>
      <c r="P14" s="177"/>
      <c r="Q14" s="176"/>
      <c r="R14" s="176"/>
      <c r="S14" s="176"/>
      <c r="T14" s="176"/>
      <c r="U14" s="176"/>
      <c r="V14" s="176"/>
      <c r="W14" s="176"/>
      <c r="X14" s="176"/>
      <c r="Y14" s="176"/>
      <c r="Z14" s="176"/>
      <c r="AA14" s="176"/>
      <c r="AB14" s="176"/>
      <c r="AC14" s="177"/>
    </row>
    <row r="15" spans="1:29" ht="16.5" thickBot="1" x14ac:dyDescent="0.4">
      <c r="A15" s="127"/>
      <c r="B15" s="129" t="s">
        <v>74</v>
      </c>
      <c r="C15" s="129"/>
      <c r="D15" s="191"/>
      <c r="E15" s="178"/>
      <c r="F15" s="191"/>
      <c r="G15" s="178"/>
      <c r="H15" s="176"/>
      <c r="I15" s="176"/>
      <c r="J15" s="176"/>
      <c r="K15" s="176"/>
      <c r="L15" s="176"/>
      <c r="M15" s="176"/>
      <c r="N15" s="176"/>
      <c r="O15" s="176"/>
      <c r="P15" s="177"/>
      <c r="Q15" s="176"/>
      <c r="R15" s="176"/>
      <c r="S15" s="176"/>
      <c r="T15" s="176"/>
      <c r="U15" s="176"/>
      <c r="V15" s="176"/>
      <c r="W15" s="176"/>
      <c r="X15" s="176"/>
      <c r="Y15" s="176"/>
      <c r="Z15" s="176"/>
      <c r="AA15" s="176"/>
      <c r="AB15" s="176"/>
      <c r="AC15" s="177"/>
    </row>
    <row r="16" spans="1:29" ht="16.5" thickTop="1" x14ac:dyDescent="0.35">
      <c r="A16" s="127"/>
      <c r="B16" s="131" t="s">
        <v>78</v>
      </c>
      <c r="C16" s="180">
        <f>'2a-PayrollYear1'!R15</f>
        <v>0</v>
      </c>
      <c r="D16" s="181">
        <v>0.2</v>
      </c>
      <c r="E16" s="182">
        <f t="shared" ref="E16:E23" si="0">C16*D16+C16</f>
        <v>0</v>
      </c>
      <c r="F16" s="181">
        <v>0.3</v>
      </c>
      <c r="G16" s="182">
        <f>E16*F16+E16</f>
        <v>0</v>
      </c>
      <c r="H16" s="176"/>
      <c r="I16" s="176"/>
      <c r="J16" s="176"/>
      <c r="K16" s="176"/>
      <c r="L16" s="176"/>
      <c r="M16" s="176"/>
      <c r="N16" s="176"/>
      <c r="O16" s="176"/>
      <c r="P16" s="177"/>
      <c r="Q16" s="176"/>
      <c r="R16" s="176"/>
      <c r="S16" s="176"/>
      <c r="T16" s="176"/>
      <c r="U16" s="176"/>
      <c r="V16" s="176"/>
      <c r="W16" s="176"/>
      <c r="X16" s="176"/>
      <c r="Y16" s="176"/>
      <c r="Z16" s="176"/>
      <c r="AA16" s="176"/>
      <c r="AB16" s="176"/>
      <c r="AC16" s="177"/>
    </row>
    <row r="17" spans="1:29" x14ac:dyDescent="0.35">
      <c r="A17" s="127"/>
      <c r="B17" s="138" t="s">
        <v>79</v>
      </c>
      <c r="C17" s="184">
        <f>'2a-PayrollYear1'!R16</f>
        <v>0</v>
      </c>
      <c r="D17" s="185">
        <v>0.2</v>
      </c>
      <c r="E17" s="186">
        <f t="shared" si="0"/>
        <v>0</v>
      </c>
      <c r="F17" s="185">
        <v>0.3</v>
      </c>
      <c r="G17" s="186">
        <f t="shared" ref="G17:G23" si="1">E17*F17+E17</f>
        <v>0</v>
      </c>
      <c r="H17" s="176"/>
      <c r="I17" s="176"/>
      <c r="J17" s="176"/>
      <c r="K17" s="176"/>
      <c r="L17" s="176"/>
      <c r="M17" s="176"/>
      <c r="N17" s="176"/>
      <c r="O17" s="176"/>
      <c r="P17" s="177"/>
      <c r="Q17" s="176"/>
      <c r="R17" s="176"/>
      <c r="S17" s="176"/>
      <c r="T17" s="176"/>
      <c r="U17" s="176"/>
      <c r="V17" s="176"/>
      <c r="W17" s="176"/>
      <c r="X17" s="176"/>
      <c r="Y17" s="176"/>
      <c r="Z17" s="176"/>
      <c r="AA17" s="176"/>
      <c r="AB17" s="176"/>
      <c r="AC17" s="177"/>
    </row>
    <row r="18" spans="1:29" x14ac:dyDescent="0.35">
      <c r="A18" s="127"/>
      <c r="B18" s="138" t="s">
        <v>81</v>
      </c>
      <c r="C18" s="184">
        <f>'2a-PayrollYear1'!R17</f>
        <v>0</v>
      </c>
      <c r="D18" s="185">
        <v>0.2</v>
      </c>
      <c r="E18" s="186">
        <f t="shared" si="0"/>
        <v>0</v>
      </c>
      <c r="F18" s="185">
        <v>0.3</v>
      </c>
      <c r="G18" s="186">
        <f t="shared" si="1"/>
        <v>0</v>
      </c>
      <c r="H18" s="176"/>
      <c r="I18" s="176"/>
      <c r="J18" s="176"/>
      <c r="K18" s="176"/>
      <c r="L18" s="176"/>
      <c r="M18" s="176"/>
      <c r="N18" s="176"/>
      <c r="O18" s="176"/>
      <c r="P18" s="177"/>
      <c r="Q18" s="176"/>
      <c r="R18" s="176"/>
      <c r="S18" s="176"/>
      <c r="T18" s="176"/>
      <c r="U18" s="176"/>
      <c r="V18" s="176"/>
      <c r="W18" s="176"/>
      <c r="X18" s="176"/>
      <c r="Y18" s="176"/>
      <c r="Z18" s="176"/>
      <c r="AA18" s="176"/>
      <c r="AB18" s="176"/>
      <c r="AC18" s="177"/>
    </row>
    <row r="19" spans="1:29" x14ac:dyDescent="0.35">
      <c r="A19" s="127"/>
      <c r="B19" s="138" t="s">
        <v>82</v>
      </c>
      <c r="C19" s="184">
        <f>'2a-PayrollYear1'!R18</f>
        <v>0</v>
      </c>
      <c r="D19" s="185">
        <v>0.2</v>
      </c>
      <c r="E19" s="186">
        <f t="shared" si="0"/>
        <v>0</v>
      </c>
      <c r="F19" s="185">
        <v>0.3</v>
      </c>
      <c r="G19" s="186">
        <f t="shared" si="1"/>
        <v>0</v>
      </c>
      <c r="H19" s="176"/>
      <c r="I19" s="176"/>
      <c r="J19" s="176"/>
      <c r="K19" s="176"/>
      <c r="L19" s="176"/>
      <c r="M19" s="176"/>
      <c r="N19" s="176"/>
      <c r="O19" s="176"/>
      <c r="P19" s="177"/>
      <c r="Q19" s="176"/>
      <c r="R19" s="176"/>
      <c r="S19" s="176"/>
      <c r="T19" s="176"/>
      <c r="U19" s="176"/>
      <c r="V19" s="176"/>
      <c r="W19" s="176"/>
      <c r="X19" s="176"/>
      <c r="Y19" s="176"/>
      <c r="Z19" s="176"/>
      <c r="AA19" s="176"/>
      <c r="AB19" s="176"/>
      <c r="AC19" s="177"/>
    </row>
    <row r="20" spans="1:29" x14ac:dyDescent="0.35">
      <c r="A20" s="179"/>
      <c r="B20" s="138" t="s">
        <v>83</v>
      </c>
      <c r="C20" s="184">
        <f>'2a-PayrollYear1'!R19</f>
        <v>0</v>
      </c>
      <c r="D20" s="185">
        <v>0</v>
      </c>
      <c r="E20" s="186">
        <f t="shared" si="0"/>
        <v>0</v>
      </c>
      <c r="F20" s="185">
        <v>0</v>
      </c>
      <c r="G20" s="186">
        <f t="shared" si="1"/>
        <v>0</v>
      </c>
      <c r="H20" s="192"/>
      <c r="I20" s="192"/>
      <c r="J20" s="192"/>
      <c r="K20" s="192"/>
      <c r="L20" s="192"/>
      <c r="M20" s="192"/>
      <c r="N20" s="192"/>
      <c r="O20" s="192"/>
      <c r="P20" s="193"/>
      <c r="Q20" s="192"/>
      <c r="R20" s="192"/>
      <c r="S20" s="192"/>
      <c r="T20" s="192"/>
      <c r="U20" s="192"/>
      <c r="V20" s="192"/>
      <c r="W20" s="192"/>
      <c r="X20" s="192"/>
      <c r="Y20" s="192"/>
      <c r="Z20" s="192"/>
      <c r="AA20" s="192"/>
      <c r="AB20" s="192"/>
      <c r="AC20" s="193"/>
    </row>
    <row r="21" spans="1:29" x14ac:dyDescent="0.35">
      <c r="A21" s="183"/>
      <c r="B21" s="138" t="s">
        <v>84</v>
      </c>
      <c r="C21" s="184">
        <f>'2a-PayrollYear1'!R20</f>
        <v>0</v>
      </c>
      <c r="D21" s="185">
        <v>0.03</v>
      </c>
      <c r="E21" s="186">
        <f t="shared" si="0"/>
        <v>0</v>
      </c>
      <c r="F21" s="185">
        <v>0.03</v>
      </c>
      <c r="G21" s="186">
        <f t="shared" si="1"/>
        <v>0</v>
      </c>
      <c r="H21" s="119"/>
      <c r="I21" s="119"/>
      <c r="J21" s="119"/>
      <c r="K21" s="119"/>
      <c r="L21" s="119"/>
      <c r="M21" s="119"/>
      <c r="N21" s="119"/>
      <c r="O21" s="119"/>
      <c r="P21" s="119"/>
      <c r="Q21" s="127"/>
      <c r="R21" s="127"/>
      <c r="S21" s="127"/>
      <c r="T21" s="119"/>
      <c r="U21" s="119"/>
      <c r="V21" s="119"/>
      <c r="W21" s="119"/>
      <c r="X21" s="119"/>
      <c r="Y21" s="119"/>
      <c r="Z21" s="119"/>
      <c r="AA21" s="119"/>
      <c r="AB21" s="119"/>
      <c r="AC21" s="119"/>
    </row>
    <row r="22" spans="1:29" x14ac:dyDescent="0.35">
      <c r="A22" s="179"/>
      <c r="B22" s="138" t="s">
        <v>85</v>
      </c>
      <c r="C22" s="184">
        <f>'2a-PayrollYear1'!R21</f>
        <v>0</v>
      </c>
      <c r="D22" s="185">
        <v>0.03</v>
      </c>
      <c r="E22" s="186">
        <f t="shared" si="0"/>
        <v>0</v>
      </c>
      <c r="F22" s="185">
        <v>0.03</v>
      </c>
      <c r="G22" s="186">
        <f t="shared" si="1"/>
        <v>0</v>
      </c>
      <c r="H22" s="194"/>
      <c r="I22" s="194"/>
      <c r="J22" s="194"/>
      <c r="K22" s="194"/>
      <c r="L22" s="194"/>
      <c r="M22" s="194"/>
      <c r="N22" s="194"/>
      <c r="O22" s="194"/>
      <c r="P22" s="195"/>
      <c r="Q22" s="194"/>
      <c r="R22" s="194"/>
      <c r="S22" s="194"/>
      <c r="T22" s="194"/>
      <c r="U22" s="194"/>
      <c r="V22" s="194"/>
      <c r="W22" s="194"/>
      <c r="X22" s="194"/>
      <c r="Y22" s="194"/>
      <c r="Z22" s="194"/>
      <c r="AA22" s="194"/>
      <c r="AB22" s="194"/>
      <c r="AC22" s="195"/>
    </row>
    <row r="23" spans="1:29" x14ac:dyDescent="0.35">
      <c r="B23" s="138" t="s">
        <v>86</v>
      </c>
      <c r="C23" s="184">
        <f>'2a-PayrollYear1'!R22</f>
        <v>0</v>
      </c>
      <c r="D23" s="185">
        <v>0.1</v>
      </c>
      <c r="E23" s="186">
        <f t="shared" si="0"/>
        <v>0</v>
      </c>
      <c r="F23" s="185">
        <v>0.1</v>
      </c>
      <c r="G23" s="186">
        <f t="shared" si="1"/>
        <v>0</v>
      </c>
    </row>
    <row r="24" spans="1:29" x14ac:dyDescent="0.35">
      <c r="B24" s="145" t="s">
        <v>87</v>
      </c>
      <c r="C24" s="142">
        <f>SUM(C16:C23)</f>
        <v>0</v>
      </c>
      <c r="D24" s="188"/>
      <c r="E24" s="189">
        <f>SUM(E16:E23)</f>
        <v>0</v>
      </c>
      <c r="F24" s="188"/>
      <c r="G24" s="189">
        <f>SUM(G16:G23)</f>
        <v>0</v>
      </c>
    </row>
    <row r="25" spans="1:29" x14ac:dyDescent="0.35">
      <c r="A25" s="171"/>
      <c r="B25" s="145"/>
      <c r="C25" s="138"/>
      <c r="D25" s="188"/>
      <c r="E25" s="186"/>
      <c r="F25" s="188"/>
      <c r="G25" s="186"/>
      <c r="H25" s="171"/>
      <c r="I25" s="171"/>
      <c r="J25" s="171"/>
      <c r="K25" s="171"/>
      <c r="L25" s="171"/>
      <c r="M25" s="171"/>
      <c r="N25" s="171"/>
      <c r="O25" s="171"/>
      <c r="P25" s="171"/>
    </row>
    <row r="26" spans="1:29" x14ac:dyDescent="0.35">
      <c r="A26" s="127"/>
      <c r="B26" s="145" t="s">
        <v>88</v>
      </c>
      <c r="C26" s="165">
        <f>SUM(C13+C24)</f>
        <v>0</v>
      </c>
      <c r="D26" s="188"/>
      <c r="E26" s="196">
        <f>SUM(E13+E24)</f>
        <v>0</v>
      </c>
      <c r="F26" s="188"/>
      <c r="G26" s="196">
        <f>SUM(G13+G24)</f>
        <v>0</v>
      </c>
      <c r="H26" s="176"/>
      <c r="I26" s="176"/>
      <c r="J26" s="176"/>
      <c r="K26" s="176"/>
      <c r="L26" s="176"/>
      <c r="M26" s="176"/>
      <c r="N26" s="176"/>
      <c r="O26" s="176"/>
      <c r="P26" s="177"/>
    </row>
    <row r="27" spans="1:29" x14ac:dyDescent="0.35">
      <c r="A27" s="127"/>
      <c r="D27" s="197"/>
      <c r="E27" s="198"/>
      <c r="F27" s="197"/>
      <c r="G27" s="198"/>
      <c r="H27" s="176"/>
      <c r="I27" s="176"/>
      <c r="J27" s="176"/>
      <c r="K27" s="176"/>
      <c r="L27" s="176"/>
      <c r="M27" s="176"/>
      <c r="N27" s="176"/>
      <c r="O27" s="176"/>
      <c r="P27" s="177"/>
    </row>
    <row r="28" spans="1:29" x14ac:dyDescent="0.35">
      <c r="A28" s="127"/>
      <c r="D28" s="197"/>
      <c r="E28" s="198"/>
      <c r="F28" s="197"/>
      <c r="G28" s="198"/>
      <c r="H28" s="176"/>
      <c r="I28" s="176"/>
      <c r="J28" s="176"/>
      <c r="K28" s="176"/>
      <c r="L28" s="176"/>
      <c r="M28" s="176"/>
      <c r="N28" s="176"/>
      <c r="O28" s="176"/>
      <c r="P28" s="177"/>
    </row>
    <row r="29" spans="1:29" x14ac:dyDescent="0.35">
      <c r="A29" s="127"/>
      <c r="B29" s="199"/>
      <c r="C29" s="199"/>
      <c r="D29" s="197"/>
      <c r="E29" s="198"/>
      <c r="F29" s="197"/>
      <c r="G29" s="198"/>
      <c r="H29" s="176"/>
      <c r="I29" s="176"/>
      <c r="J29" s="176"/>
      <c r="K29" s="176"/>
      <c r="L29" s="176"/>
      <c r="M29" s="176"/>
      <c r="N29" s="176"/>
      <c r="O29" s="176"/>
      <c r="P29" s="177"/>
    </row>
    <row r="30" spans="1:29" x14ac:dyDescent="0.35">
      <c r="A30" s="179"/>
      <c r="B30" s="200"/>
      <c r="C30" s="176"/>
      <c r="D30" s="197"/>
      <c r="E30" s="198"/>
      <c r="F30" s="197"/>
      <c r="G30" s="198"/>
      <c r="H30" s="177"/>
      <c r="I30" s="177"/>
      <c r="J30" s="177"/>
      <c r="K30" s="177"/>
      <c r="L30" s="177"/>
      <c r="M30" s="177"/>
      <c r="N30" s="177"/>
      <c r="O30" s="177"/>
      <c r="P30" s="177"/>
    </row>
    <row r="31" spans="1:29" x14ac:dyDescent="0.35">
      <c r="A31" s="183"/>
      <c r="B31" s="200"/>
      <c r="C31" s="176"/>
      <c r="D31" s="197"/>
      <c r="E31" s="198"/>
      <c r="F31" s="197"/>
      <c r="G31" s="198"/>
      <c r="H31" s="119"/>
      <c r="I31" s="119"/>
      <c r="J31" s="119"/>
      <c r="K31" s="119"/>
      <c r="L31" s="119"/>
      <c r="M31" s="119"/>
      <c r="N31" s="119"/>
      <c r="O31" s="119"/>
      <c r="P31" s="187"/>
    </row>
    <row r="32" spans="1:29" x14ac:dyDescent="0.35">
      <c r="A32" s="171"/>
      <c r="B32" s="200"/>
      <c r="C32" s="176"/>
      <c r="D32" s="197"/>
      <c r="E32" s="198"/>
      <c r="F32" s="197"/>
      <c r="G32" s="198"/>
      <c r="H32" s="171"/>
      <c r="I32" s="171"/>
      <c r="J32" s="171"/>
      <c r="K32" s="171"/>
      <c r="L32" s="171"/>
      <c r="M32" s="171"/>
      <c r="N32" s="171"/>
      <c r="O32" s="171"/>
      <c r="P32" s="171"/>
    </row>
    <row r="33" spans="1:16" x14ac:dyDescent="0.35">
      <c r="A33" s="127"/>
      <c r="B33" s="200"/>
      <c r="C33" s="176"/>
      <c r="D33" s="197"/>
      <c r="E33" s="198"/>
      <c r="F33" s="197"/>
      <c r="G33" s="198"/>
      <c r="H33" s="176"/>
      <c r="I33" s="176"/>
      <c r="J33" s="176"/>
      <c r="K33" s="176"/>
      <c r="L33" s="176"/>
      <c r="M33" s="176"/>
      <c r="N33" s="176"/>
      <c r="O33" s="176"/>
      <c r="P33" s="177"/>
    </row>
    <row r="34" spans="1:16" x14ac:dyDescent="0.35">
      <c r="A34" s="127"/>
      <c r="B34" s="179"/>
      <c r="C34" s="201"/>
      <c r="D34" s="166"/>
      <c r="E34" s="202"/>
      <c r="F34" s="166"/>
      <c r="G34" s="202"/>
      <c r="H34" s="176"/>
      <c r="I34" s="176"/>
      <c r="J34" s="176"/>
      <c r="K34" s="176"/>
      <c r="L34" s="176"/>
      <c r="M34" s="176"/>
      <c r="N34" s="176"/>
      <c r="O34" s="176"/>
      <c r="P34" s="177"/>
    </row>
    <row r="35" spans="1:16" x14ac:dyDescent="0.35">
      <c r="A35" s="127"/>
      <c r="B35" s="183"/>
      <c r="C35" s="203"/>
      <c r="D35" s="187"/>
      <c r="E35" s="127"/>
      <c r="F35" s="127"/>
      <c r="G35" s="119"/>
      <c r="H35" s="176"/>
      <c r="I35" s="176"/>
      <c r="J35" s="176"/>
      <c r="K35" s="176"/>
      <c r="L35" s="176"/>
      <c r="M35" s="176"/>
      <c r="N35" s="176"/>
      <c r="O35" s="176"/>
      <c r="P35" s="177"/>
    </row>
    <row r="36" spans="1:16" x14ac:dyDescent="0.35">
      <c r="A36" s="127"/>
      <c r="B36" s="179"/>
      <c r="C36" s="204"/>
      <c r="D36" s="171"/>
      <c r="E36" s="171"/>
      <c r="F36" s="171"/>
      <c r="G36" s="171"/>
      <c r="H36" s="176"/>
      <c r="I36" s="176"/>
      <c r="J36" s="176"/>
      <c r="K36" s="176"/>
      <c r="L36" s="176"/>
      <c r="M36" s="176"/>
      <c r="N36" s="176"/>
      <c r="O36" s="176"/>
      <c r="P36" s="177"/>
    </row>
    <row r="37" spans="1:16" x14ac:dyDescent="0.35">
      <c r="A37" s="127"/>
      <c r="B37" s="127"/>
      <c r="C37" s="205"/>
      <c r="D37" s="177"/>
      <c r="E37" s="176"/>
      <c r="F37" s="176"/>
      <c r="G37" s="176"/>
      <c r="H37" s="176"/>
      <c r="I37" s="176"/>
      <c r="J37" s="176"/>
      <c r="K37" s="176"/>
      <c r="L37" s="176"/>
      <c r="M37" s="176"/>
      <c r="N37" s="176"/>
      <c r="O37" s="176"/>
      <c r="P37" s="177"/>
    </row>
    <row r="38" spans="1:16" x14ac:dyDescent="0.35">
      <c r="A38" s="127"/>
      <c r="B38" s="127"/>
      <c r="C38" s="205"/>
      <c r="D38" s="177"/>
      <c r="E38" s="176"/>
      <c r="F38" s="176"/>
      <c r="G38" s="176"/>
      <c r="H38" s="176"/>
      <c r="I38" s="176"/>
      <c r="J38" s="176"/>
      <c r="K38" s="176"/>
      <c r="L38" s="176"/>
      <c r="M38" s="176"/>
      <c r="N38" s="176"/>
      <c r="O38" s="176"/>
      <c r="P38" s="177"/>
    </row>
    <row r="39" spans="1:16" x14ac:dyDescent="0.35">
      <c r="A39" s="127"/>
      <c r="B39" s="127"/>
      <c r="C39" s="205"/>
      <c r="D39" s="177"/>
      <c r="E39" s="176"/>
      <c r="F39" s="176"/>
      <c r="G39" s="176"/>
      <c r="H39" s="176"/>
      <c r="I39" s="176"/>
      <c r="J39" s="176"/>
      <c r="K39" s="176"/>
      <c r="L39" s="176"/>
      <c r="M39" s="176"/>
      <c r="N39" s="176"/>
      <c r="O39" s="176"/>
      <c r="P39" s="177"/>
    </row>
    <row r="40" spans="1:16" x14ac:dyDescent="0.35">
      <c r="A40" s="127"/>
      <c r="B40" s="127"/>
      <c r="C40" s="205"/>
      <c r="D40" s="177"/>
      <c r="E40" s="176"/>
      <c r="F40" s="176"/>
      <c r="G40" s="176"/>
      <c r="H40" s="176"/>
      <c r="I40" s="176"/>
      <c r="J40" s="176"/>
      <c r="K40" s="176"/>
      <c r="L40" s="176"/>
      <c r="M40" s="176"/>
      <c r="N40" s="176"/>
      <c r="O40" s="176"/>
      <c r="P40" s="177"/>
    </row>
    <row r="41" spans="1:16" x14ac:dyDescent="0.35">
      <c r="A41" s="179"/>
      <c r="B41" s="127"/>
      <c r="C41" s="205"/>
      <c r="D41" s="177"/>
      <c r="E41" s="176"/>
      <c r="F41" s="176"/>
      <c r="G41" s="176"/>
      <c r="H41" s="192"/>
      <c r="I41" s="192"/>
      <c r="J41" s="192"/>
      <c r="K41" s="192"/>
      <c r="L41" s="192"/>
      <c r="M41" s="192"/>
      <c r="N41" s="192"/>
      <c r="O41" s="192"/>
      <c r="P41" s="193"/>
    </row>
    <row r="42" spans="1:16" x14ac:dyDescent="0.35">
      <c r="A42" s="183"/>
      <c r="B42" s="127"/>
      <c r="C42" s="205"/>
      <c r="D42" s="177"/>
      <c r="E42" s="176"/>
      <c r="F42" s="176"/>
      <c r="G42" s="176"/>
      <c r="H42" s="119"/>
      <c r="I42" s="119"/>
      <c r="J42" s="119"/>
      <c r="K42" s="119"/>
      <c r="L42" s="119"/>
      <c r="M42" s="119"/>
      <c r="N42" s="119"/>
      <c r="O42" s="119"/>
      <c r="P42" s="119"/>
    </row>
    <row r="43" spans="1:16" x14ac:dyDescent="0.35">
      <c r="A43" s="179"/>
      <c r="B43" s="127"/>
      <c r="C43" s="205"/>
      <c r="D43" s="177"/>
      <c r="E43" s="176"/>
      <c r="F43" s="176"/>
      <c r="G43" s="176"/>
      <c r="H43" s="194"/>
      <c r="I43" s="194"/>
      <c r="J43" s="194"/>
      <c r="K43" s="194"/>
      <c r="L43" s="194"/>
      <c r="M43" s="194"/>
      <c r="N43" s="194"/>
      <c r="O43" s="194"/>
      <c r="P43" s="195"/>
    </row>
    <row r="44" spans="1:16" x14ac:dyDescent="0.35">
      <c r="B44" s="127"/>
      <c r="C44" s="205"/>
      <c r="D44" s="177"/>
      <c r="E44" s="176"/>
      <c r="F44" s="176"/>
      <c r="G44" s="176"/>
    </row>
    <row r="45" spans="1:16" x14ac:dyDescent="0.35">
      <c r="B45" s="179"/>
      <c r="C45" s="206"/>
      <c r="D45" s="193"/>
      <c r="E45" s="192"/>
      <c r="F45" s="192"/>
      <c r="G45" s="192"/>
    </row>
    <row r="46" spans="1:16" x14ac:dyDescent="0.35">
      <c r="B46" s="183"/>
      <c r="C46" s="203"/>
      <c r="D46" s="119"/>
      <c r="E46" s="127"/>
      <c r="F46" s="127"/>
      <c r="G46" s="119"/>
    </row>
    <row r="47" spans="1:16" x14ac:dyDescent="0.35">
      <c r="B47" s="179"/>
      <c r="C47" s="207"/>
      <c r="D47" s="195"/>
      <c r="E47" s="194"/>
      <c r="F47" s="194"/>
      <c r="G47" s="194"/>
    </row>
  </sheetData>
  <sheetProtection formatColumns="0" formatRows="0"/>
  <mergeCells count="2">
    <mergeCell ref="C4:D4"/>
    <mergeCell ref="C5:D5"/>
  </mergeCells>
  <pageMargins left="0.7" right="0.7" top="0.75" bottom="0.75" header="0.3" footer="0.3"/>
  <pageSetup orientation="landscape" r:id="rId1"/>
  <headerFooter scaleWithDoc="0">
    <oddHeader>&amp;C&amp;"Gill Sans MT,Regular"&amp;12Payroll Years 1-3</oddHeader>
    <oddFooter>&amp;L&amp;F&amp;C&amp;A&amp;R&amp;D &amp;T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S60"/>
  <sheetViews>
    <sheetView topLeftCell="A16" zoomScaleNormal="100" zoomScalePageLayoutView="50" workbookViewId="0">
      <selection activeCell="J32" sqref="J32"/>
    </sheetView>
  </sheetViews>
  <sheetFormatPr defaultColWidth="8.875" defaultRowHeight="15.75" x14ac:dyDescent="0.35"/>
  <cols>
    <col min="1" max="1" width="8.125" style="118" customWidth="1"/>
    <col min="2" max="2" width="28.25" style="120" bestFit="1" customWidth="1"/>
    <col min="3" max="3" width="17.375" style="120" bestFit="1" customWidth="1"/>
    <col min="4" max="4" width="12.375" style="120" bestFit="1" customWidth="1"/>
    <col min="5" max="5" width="11.25" style="120" bestFit="1" customWidth="1"/>
    <col min="6" max="6" width="18.25" style="120" bestFit="1" customWidth="1"/>
    <col min="7" max="10" width="10.25" style="120" bestFit="1" customWidth="1"/>
    <col min="11" max="11" width="11.875" style="120" bestFit="1" customWidth="1"/>
    <col min="12" max="12" width="10.25" style="120" bestFit="1" customWidth="1"/>
    <col min="13" max="14" width="11.125" style="120" bestFit="1" customWidth="1"/>
    <col min="15" max="15" width="16.25" style="120" bestFit="1" customWidth="1"/>
    <col min="16" max="16" width="12" style="120" bestFit="1" customWidth="1"/>
    <col min="17" max="17" width="13.75" style="118" bestFit="1" customWidth="1"/>
    <col min="18" max="256" width="8.875" style="120"/>
    <col min="257" max="257" width="8.125" style="120" customWidth="1"/>
    <col min="258" max="258" width="28.25" style="120" bestFit="1" customWidth="1"/>
    <col min="259" max="259" width="17.375" style="120" bestFit="1" customWidth="1"/>
    <col min="260" max="260" width="12.375" style="120" bestFit="1" customWidth="1"/>
    <col min="261" max="261" width="11.25" style="120" bestFit="1" customWidth="1"/>
    <col min="262" max="262" width="18.25" style="120" bestFit="1" customWidth="1"/>
    <col min="263" max="266" width="10.25" style="120" bestFit="1" customWidth="1"/>
    <col min="267" max="267" width="11.875" style="120" bestFit="1" customWidth="1"/>
    <col min="268" max="268" width="10.25" style="120" bestFit="1" customWidth="1"/>
    <col min="269" max="270" width="11.125" style="120" bestFit="1" customWidth="1"/>
    <col min="271" max="271" width="16.25" style="120" bestFit="1" customWidth="1"/>
    <col min="272" max="272" width="12" style="120" bestFit="1" customWidth="1"/>
    <col min="273" max="273" width="13.75" style="120" bestFit="1" customWidth="1"/>
    <col min="274" max="512" width="8.875" style="120"/>
    <col min="513" max="513" width="8.125" style="120" customWidth="1"/>
    <col min="514" max="514" width="28.25" style="120" bestFit="1" customWidth="1"/>
    <col min="515" max="515" width="17.375" style="120" bestFit="1" customWidth="1"/>
    <col min="516" max="516" width="12.375" style="120" bestFit="1" customWidth="1"/>
    <col min="517" max="517" width="11.25" style="120" bestFit="1" customWidth="1"/>
    <col min="518" max="518" width="18.25" style="120" bestFit="1" customWidth="1"/>
    <col min="519" max="522" width="10.25" style="120" bestFit="1" customWidth="1"/>
    <col min="523" max="523" width="11.875" style="120" bestFit="1" customWidth="1"/>
    <col min="524" max="524" width="10.25" style="120" bestFit="1" customWidth="1"/>
    <col min="525" max="526" width="11.125" style="120" bestFit="1" customWidth="1"/>
    <col min="527" max="527" width="16.25" style="120" bestFit="1" customWidth="1"/>
    <col min="528" max="528" width="12" style="120" bestFit="1" customWidth="1"/>
    <col min="529" max="529" width="13.75" style="120" bestFit="1" customWidth="1"/>
    <col min="530" max="768" width="8.875" style="120"/>
    <col min="769" max="769" width="8.125" style="120" customWidth="1"/>
    <col min="770" max="770" width="28.25" style="120" bestFit="1" customWidth="1"/>
    <col min="771" max="771" width="17.375" style="120" bestFit="1" customWidth="1"/>
    <col min="772" max="772" width="12.375" style="120" bestFit="1" customWidth="1"/>
    <col min="773" max="773" width="11.25" style="120" bestFit="1" customWidth="1"/>
    <col min="774" max="774" width="18.25" style="120" bestFit="1" customWidth="1"/>
    <col min="775" max="778" width="10.25" style="120" bestFit="1" customWidth="1"/>
    <col min="779" max="779" width="11.875" style="120" bestFit="1" customWidth="1"/>
    <col min="780" max="780" width="10.25" style="120" bestFit="1" customWidth="1"/>
    <col min="781" max="782" width="11.125" style="120" bestFit="1" customWidth="1"/>
    <col min="783" max="783" width="16.25" style="120" bestFit="1" customWidth="1"/>
    <col min="784" max="784" width="12" style="120" bestFit="1" customWidth="1"/>
    <col min="785" max="785" width="13.75" style="120" bestFit="1" customWidth="1"/>
    <col min="786" max="1024" width="8.875" style="120"/>
    <col min="1025" max="1025" width="8.125" style="120" customWidth="1"/>
    <col min="1026" max="1026" width="28.25" style="120" bestFit="1" customWidth="1"/>
    <col min="1027" max="1027" width="17.375" style="120" bestFit="1" customWidth="1"/>
    <col min="1028" max="1028" width="12.375" style="120" bestFit="1" customWidth="1"/>
    <col min="1029" max="1029" width="11.25" style="120" bestFit="1" customWidth="1"/>
    <col min="1030" max="1030" width="18.25" style="120" bestFit="1" customWidth="1"/>
    <col min="1031" max="1034" width="10.25" style="120" bestFit="1" customWidth="1"/>
    <col min="1035" max="1035" width="11.875" style="120" bestFit="1" customWidth="1"/>
    <col min="1036" max="1036" width="10.25" style="120" bestFit="1" customWidth="1"/>
    <col min="1037" max="1038" width="11.125" style="120" bestFit="1" customWidth="1"/>
    <col min="1039" max="1039" width="16.25" style="120" bestFit="1" customWidth="1"/>
    <col min="1040" max="1040" width="12" style="120" bestFit="1" customWidth="1"/>
    <col min="1041" max="1041" width="13.75" style="120" bestFit="1" customWidth="1"/>
    <col min="1042" max="1280" width="8.875" style="120"/>
    <col min="1281" max="1281" width="8.125" style="120" customWidth="1"/>
    <col min="1282" max="1282" width="28.25" style="120" bestFit="1" customWidth="1"/>
    <col min="1283" max="1283" width="17.375" style="120" bestFit="1" customWidth="1"/>
    <col min="1284" max="1284" width="12.375" style="120" bestFit="1" customWidth="1"/>
    <col min="1285" max="1285" width="11.25" style="120" bestFit="1" customWidth="1"/>
    <col min="1286" max="1286" width="18.25" style="120" bestFit="1" customWidth="1"/>
    <col min="1287" max="1290" width="10.25" style="120" bestFit="1" customWidth="1"/>
    <col min="1291" max="1291" width="11.875" style="120" bestFit="1" customWidth="1"/>
    <col min="1292" max="1292" width="10.25" style="120" bestFit="1" customWidth="1"/>
    <col min="1293" max="1294" width="11.125" style="120" bestFit="1" customWidth="1"/>
    <col min="1295" max="1295" width="16.25" style="120" bestFit="1" customWidth="1"/>
    <col min="1296" max="1296" width="12" style="120" bestFit="1" customWidth="1"/>
    <col min="1297" max="1297" width="13.75" style="120" bestFit="1" customWidth="1"/>
    <col min="1298" max="1536" width="8.875" style="120"/>
    <col min="1537" max="1537" width="8.125" style="120" customWidth="1"/>
    <col min="1538" max="1538" width="28.25" style="120" bestFit="1" customWidth="1"/>
    <col min="1539" max="1539" width="17.375" style="120" bestFit="1" customWidth="1"/>
    <col min="1540" max="1540" width="12.375" style="120" bestFit="1" customWidth="1"/>
    <col min="1541" max="1541" width="11.25" style="120" bestFit="1" customWidth="1"/>
    <col min="1542" max="1542" width="18.25" style="120" bestFit="1" customWidth="1"/>
    <col min="1543" max="1546" width="10.25" style="120" bestFit="1" customWidth="1"/>
    <col min="1547" max="1547" width="11.875" style="120" bestFit="1" customWidth="1"/>
    <col min="1548" max="1548" width="10.25" style="120" bestFit="1" customWidth="1"/>
    <col min="1549" max="1550" width="11.125" style="120" bestFit="1" customWidth="1"/>
    <col min="1551" max="1551" width="16.25" style="120" bestFit="1" customWidth="1"/>
    <col min="1552" max="1552" width="12" style="120" bestFit="1" customWidth="1"/>
    <col min="1553" max="1553" width="13.75" style="120" bestFit="1" customWidth="1"/>
    <col min="1554" max="1792" width="8.875" style="120"/>
    <col min="1793" max="1793" width="8.125" style="120" customWidth="1"/>
    <col min="1794" max="1794" width="28.25" style="120" bestFit="1" customWidth="1"/>
    <col min="1795" max="1795" width="17.375" style="120" bestFit="1" customWidth="1"/>
    <col min="1796" max="1796" width="12.375" style="120" bestFit="1" customWidth="1"/>
    <col min="1797" max="1797" width="11.25" style="120" bestFit="1" customWidth="1"/>
    <col min="1798" max="1798" width="18.25" style="120" bestFit="1" customWidth="1"/>
    <col min="1799" max="1802" width="10.25" style="120" bestFit="1" customWidth="1"/>
    <col min="1803" max="1803" width="11.875" style="120" bestFit="1" customWidth="1"/>
    <col min="1804" max="1804" width="10.25" style="120" bestFit="1" customWidth="1"/>
    <col min="1805" max="1806" width="11.125" style="120" bestFit="1" customWidth="1"/>
    <col min="1807" max="1807" width="16.25" style="120" bestFit="1" customWidth="1"/>
    <col min="1808" max="1808" width="12" style="120" bestFit="1" customWidth="1"/>
    <col min="1809" max="1809" width="13.75" style="120" bestFit="1" customWidth="1"/>
    <col min="1810" max="2048" width="8.875" style="120"/>
    <col min="2049" max="2049" width="8.125" style="120" customWidth="1"/>
    <col min="2050" max="2050" width="28.25" style="120" bestFit="1" customWidth="1"/>
    <col min="2051" max="2051" width="17.375" style="120" bestFit="1" customWidth="1"/>
    <col min="2052" max="2052" width="12.375" style="120" bestFit="1" customWidth="1"/>
    <col min="2053" max="2053" width="11.25" style="120" bestFit="1" customWidth="1"/>
    <col min="2054" max="2054" width="18.25" style="120" bestFit="1" customWidth="1"/>
    <col min="2055" max="2058" width="10.25" style="120" bestFit="1" customWidth="1"/>
    <col min="2059" max="2059" width="11.875" style="120" bestFit="1" customWidth="1"/>
    <col min="2060" max="2060" width="10.25" style="120" bestFit="1" customWidth="1"/>
    <col min="2061" max="2062" width="11.125" style="120" bestFit="1" customWidth="1"/>
    <col min="2063" max="2063" width="16.25" style="120" bestFit="1" customWidth="1"/>
    <col min="2064" max="2064" width="12" style="120" bestFit="1" customWidth="1"/>
    <col min="2065" max="2065" width="13.75" style="120" bestFit="1" customWidth="1"/>
    <col min="2066" max="2304" width="8.875" style="120"/>
    <col min="2305" max="2305" width="8.125" style="120" customWidth="1"/>
    <col min="2306" max="2306" width="28.25" style="120" bestFit="1" customWidth="1"/>
    <col min="2307" max="2307" width="17.375" style="120" bestFit="1" customWidth="1"/>
    <col min="2308" max="2308" width="12.375" style="120" bestFit="1" customWidth="1"/>
    <col min="2309" max="2309" width="11.25" style="120" bestFit="1" customWidth="1"/>
    <col min="2310" max="2310" width="18.25" style="120" bestFit="1" customWidth="1"/>
    <col min="2311" max="2314" width="10.25" style="120" bestFit="1" customWidth="1"/>
    <col min="2315" max="2315" width="11.875" style="120" bestFit="1" customWidth="1"/>
    <col min="2316" max="2316" width="10.25" style="120" bestFit="1" customWidth="1"/>
    <col min="2317" max="2318" width="11.125" style="120" bestFit="1" customWidth="1"/>
    <col min="2319" max="2319" width="16.25" style="120" bestFit="1" customWidth="1"/>
    <col min="2320" max="2320" width="12" style="120" bestFit="1" customWidth="1"/>
    <col min="2321" max="2321" width="13.75" style="120" bestFit="1" customWidth="1"/>
    <col min="2322" max="2560" width="8.875" style="120"/>
    <col min="2561" max="2561" width="8.125" style="120" customWidth="1"/>
    <col min="2562" max="2562" width="28.25" style="120" bestFit="1" customWidth="1"/>
    <col min="2563" max="2563" width="17.375" style="120" bestFit="1" customWidth="1"/>
    <col min="2564" max="2564" width="12.375" style="120" bestFit="1" customWidth="1"/>
    <col min="2565" max="2565" width="11.25" style="120" bestFit="1" customWidth="1"/>
    <col min="2566" max="2566" width="18.25" style="120" bestFit="1" customWidth="1"/>
    <col min="2567" max="2570" width="10.25" style="120" bestFit="1" customWidth="1"/>
    <col min="2571" max="2571" width="11.875" style="120" bestFit="1" customWidth="1"/>
    <col min="2572" max="2572" width="10.25" style="120" bestFit="1" customWidth="1"/>
    <col min="2573" max="2574" width="11.125" style="120" bestFit="1" customWidth="1"/>
    <col min="2575" max="2575" width="16.25" style="120" bestFit="1" customWidth="1"/>
    <col min="2576" max="2576" width="12" style="120" bestFit="1" customWidth="1"/>
    <col min="2577" max="2577" width="13.75" style="120" bestFit="1" customWidth="1"/>
    <col min="2578" max="2816" width="8.875" style="120"/>
    <col min="2817" max="2817" width="8.125" style="120" customWidth="1"/>
    <col min="2818" max="2818" width="28.25" style="120" bestFit="1" customWidth="1"/>
    <col min="2819" max="2819" width="17.375" style="120" bestFit="1" customWidth="1"/>
    <col min="2820" max="2820" width="12.375" style="120" bestFit="1" customWidth="1"/>
    <col min="2821" max="2821" width="11.25" style="120" bestFit="1" customWidth="1"/>
    <col min="2822" max="2822" width="18.25" style="120" bestFit="1" customWidth="1"/>
    <col min="2823" max="2826" width="10.25" style="120" bestFit="1" customWidth="1"/>
    <col min="2827" max="2827" width="11.875" style="120" bestFit="1" customWidth="1"/>
    <col min="2828" max="2828" width="10.25" style="120" bestFit="1" customWidth="1"/>
    <col min="2829" max="2830" width="11.125" style="120" bestFit="1" customWidth="1"/>
    <col min="2831" max="2831" width="16.25" style="120" bestFit="1" customWidth="1"/>
    <col min="2832" max="2832" width="12" style="120" bestFit="1" customWidth="1"/>
    <col min="2833" max="2833" width="13.75" style="120" bestFit="1" customWidth="1"/>
    <col min="2834" max="3072" width="8.875" style="120"/>
    <col min="3073" max="3073" width="8.125" style="120" customWidth="1"/>
    <col min="3074" max="3074" width="28.25" style="120" bestFit="1" customWidth="1"/>
    <col min="3075" max="3075" width="17.375" style="120" bestFit="1" customWidth="1"/>
    <col min="3076" max="3076" width="12.375" style="120" bestFit="1" customWidth="1"/>
    <col min="3077" max="3077" width="11.25" style="120" bestFit="1" customWidth="1"/>
    <col min="3078" max="3078" width="18.25" style="120" bestFit="1" customWidth="1"/>
    <col min="3079" max="3082" width="10.25" style="120" bestFit="1" customWidth="1"/>
    <col min="3083" max="3083" width="11.875" style="120" bestFit="1" customWidth="1"/>
    <col min="3084" max="3084" width="10.25" style="120" bestFit="1" customWidth="1"/>
    <col min="3085" max="3086" width="11.125" style="120" bestFit="1" customWidth="1"/>
    <col min="3087" max="3087" width="16.25" style="120" bestFit="1" customWidth="1"/>
    <col min="3088" max="3088" width="12" style="120" bestFit="1" customWidth="1"/>
    <col min="3089" max="3089" width="13.75" style="120" bestFit="1" customWidth="1"/>
    <col min="3090" max="3328" width="8.875" style="120"/>
    <col min="3329" max="3329" width="8.125" style="120" customWidth="1"/>
    <col min="3330" max="3330" width="28.25" style="120" bestFit="1" customWidth="1"/>
    <col min="3331" max="3331" width="17.375" style="120" bestFit="1" customWidth="1"/>
    <col min="3332" max="3332" width="12.375" style="120" bestFit="1" customWidth="1"/>
    <col min="3333" max="3333" width="11.25" style="120" bestFit="1" customWidth="1"/>
    <col min="3334" max="3334" width="18.25" style="120" bestFit="1" customWidth="1"/>
    <col min="3335" max="3338" width="10.25" style="120" bestFit="1" customWidth="1"/>
    <col min="3339" max="3339" width="11.875" style="120" bestFit="1" customWidth="1"/>
    <col min="3340" max="3340" width="10.25" style="120" bestFit="1" customWidth="1"/>
    <col min="3341" max="3342" width="11.125" style="120" bestFit="1" customWidth="1"/>
    <col min="3343" max="3343" width="16.25" style="120" bestFit="1" customWidth="1"/>
    <col min="3344" max="3344" width="12" style="120" bestFit="1" customWidth="1"/>
    <col min="3345" max="3345" width="13.75" style="120" bestFit="1" customWidth="1"/>
    <col min="3346" max="3584" width="8.875" style="120"/>
    <col min="3585" max="3585" width="8.125" style="120" customWidth="1"/>
    <col min="3586" max="3586" width="28.25" style="120" bestFit="1" customWidth="1"/>
    <col min="3587" max="3587" width="17.375" style="120" bestFit="1" customWidth="1"/>
    <col min="3588" max="3588" width="12.375" style="120" bestFit="1" customWidth="1"/>
    <col min="3589" max="3589" width="11.25" style="120" bestFit="1" customWidth="1"/>
    <col min="3590" max="3590" width="18.25" style="120" bestFit="1" customWidth="1"/>
    <col min="3591" max="3594" width="10.25" style="120" bestFit="1" customWidth="1"/>
    <col min="3595" max="3595" width="11.875" style="120" bestFit="1" customWidth="1"/>
    <col min="3596" max="3596" width="10.25" style="120" bestFit="1" customWidth="1"/>
    <col min="3597" max="3598" width="11.125" style="120" bestFit="1" customWidth="1"/>
    <col min="3599" max="3599" width="16.25" style="120" bestFit="1" customWidth="1"/>
    <col min="3600" max="3600" width="12" style="120" bestFit="1" customWidth="1"/>
    <col min="3601" max="3601" width="13.75" style="120" bestFit="1" customWidth="1"/>
    <col min="3602" max="3840" width="8.875" style="120"/>
    <col min="3841" max="3841" width="8.125" style="120" customWidth="1"/>
    <col min="3842" max="3842" width="28.25" style="120" bestFit="1" customWidth="1"/>
    <col min="3843" max="3843" width="17.375" style="120" bestFit="1" customWidth="1"/>
    <col min="3844" max="3844" width="12.375" style="120" bestFit="1" customWidth="1"/>
    <col min="3845" max="3845" width="11.25" style="120" bestFit="1" customWidth="1"/>
    <col min="3846" max="3846" width="18.25" style="120" bestFit="1" customWidth="1"/>
    <col min="3847" max="3850" width="10.25" style="120" bestFit="1" customWidth="1"/>
    <col min="3851" max="3851" width="11.875" style="120" bestFit="1" customWidth="1"/>
    <col min="3852" max="3852" width="10.25" style="120" bestFit="1" customWidth="1"/>
    <col min="3853" max="3854" width="11.125" style="120" bestFit="1" customWidth="1"/>
    <col min="3855" max="3855" width="16.25" style="120" bestFit="1" customWidth="1"/>
    <col min="3856" max="3856" width="12" style="120" bestFit="1" customWidth="1"/>
    <col min="3857" max="3857" width="13.75" style="120" bestFit="1" customWidth="1"/>
    <col min="3858" max="4096" width="8.875" style="120"/>
    <col min="4097" max="4097" width="8.125" style="120" customWidth="1"/>
    <col min="4098" max="4098" width="28.25" style="120" bestFit="1" customWidth="1"/>
    <col min="4099" max="4099" width="17.375" style="120" bestFit="1" customWidth="1"/>
    <col min="4100" max="4100" width="12.375" style="120" bestFit="1" customWidth="1"/>
    <col min="4101" max="4101" width="11.25" style="120" bestFit="1" customWidth="1"/>
    <col min="4102" max="4102" width="18.25" style="120" bestFit="1" customWidth="1"/>
    <col min="4103" max="4106" width="10.25" style="120" bestFit="1" customWidth="1"/>
    <col min="4107" max="4107" width="11.875" style="120" bestFit="1" customWidth="1"/>
    <col min="4108" max="4108" width="10.25" style="120" bestFit="1" customWidth="1"/>
    <col min="4109" max="4110" width="11.125" style="120" bestFit="1" customWidth="1"/>
    <col min="4111" max="4111" width="16.25" style="120" bestFit="1" customWidth="1"/>
    <col min="4112" max="4112" width="12" style="120" bestFit="1" customWidth="1"/>
    <col min="4113" max="4113" width="13.75" style="120" bestFit="1" customWidth="1"/>
    <col min="4114" max="4352" width="8.875" style="120"/>
    <col min="4353" max="4353" width="8.125" style="120" customWidth="1"/>
    <col min="4354" max="4354" width="28.25" style="120" bestFit="1" customWidth="1"/>
    <col min="4355" max="4355" width="17.375" style="120" bestFit="1" customWidth="1"/>
    <col min="4356" max="4356" width="12.375" style="120" bestFit="1" customWidth="1"/>
    <col min="4357" max="4357" width="11.25" style="120" bestFit="1" customWidth="1"/>
    <col min="4358" max="4358" width="18.25" style="120" bestFit="1" customWidth="1"/>
    <col min="4359" max="4362" width="10.25" style="120" bestFit="1" customWidth="1"/>
    <col min="4363" max="4363" width="11.875" style="120" bestFit="1" customWidth="1"/>
    <col min="4364" max="4364" width="10.25" style="120" bestFit="1" customWidth="1"/>
    <col min="4365" max="4366" width="11.125" style="120" bestFit="1" customWidth="1"/>
    <col min="4367" max="4367" width="16.25" style="120" bestFit="1" customWidth="1"/>
    <col min="4368" max="4368" width="12" style="120" bestFit="1" customWidth="1"/>
    <col min="4369" max="4369" width="13.75" style="120" bestFit="1" customWidth="1"/>
    <col min="4370" max="4608" width="8.875" style="120"/>
    <col min="4609" max="4609" width="8.125" style="120" customWidth="1"/>
    <col min="4610" max="4610" width="28.25" style="120" bestFit="1" customWidth="1"/>
    <col min="4611" max="4611" width="17.375" style="120" bestFit="1" customWidth="1"/>
    <col min="4612" max="4612" width="12.375" style="120" bestFit="1" customWidth="1"/>
    <col min="4613" max="4613" width="11.25" style="120" bestFit="1" customWidth="1"/>
    <col min="4614" max="4614" width="18.25" style="120" bestFit="1" customWidth="1"/>
    <col min="4615" max="4618" width="10.25" style="120" bestFit="1" customWidth="1"/>
    <col min="4619" max="4619" width="11.875" style="120" bestFit="1" customWidth="1"/>
    <col min="4620" max="4620" width="10.25" style="120" bestFit="1" customWidth="1"/>
    <col min="4621" max="4622" width="11.125" style="120" bestFit="1" customWidth="1"/>
    <col min="4623" max="4623" width="16.25" style="120" bestFit="1" customWidth="1"/>
    <col min="4624" max="4624" width="12" style="120" bestFit="1" customWidth="1"/>
    <col min="4625" max="4625" width="13.75" style="120" bestFit="1" customWidth="1"/>
    <col min="4626" max="4864" width="8.875" style="120"/>
    <col min="4865" max="4865" width="8.125" style="120" customWidth="1"/>
    <col min="4866" max="4866" width="28.25" style="120" bestFit="1" customWidth="1"/>
    <col min="4867" max="4867" width="17.375" style="120" bestFit="1" customWidth="1"/>
    <col min="4868" max="4868" width="12.375" style="120" bestFit="1" customWidth="1"/>
    <col min="4869" max="4869" width="11.25" style="120" bestFit="1" customWidth="1"/>
    <col min="4870" max="4870" width="18.25" style="120" bestFit="1" customWidth="1"/>
    <col min="4871" max="4874" width="10.25" style="120" bestFit="1" customWidth="1"/>
    <col min="4875" max="4875" width="11.875" style="120" bestFit="1" customWidth="1"/>
    <col min="4876" max="4876" width="10.25" style="120" bestFit="1" customWidth="1"/>
    <col min="4877" max="4878" width="11.125" style="120" bestFit="1" customWidth="1"/>
    <col min="4879" max="4879" width="16.25" style="120" bestFit="1" customWidth="1"/>
    <col min="4880" max="4880" width="12" style="120" bestFit="1" customWidth="1"/>
    <col min="4881" max="4881" width="13.75" style="120" bestFit="1" customWidth="1"/>
    <col min="4882" max="5120" width="8.875" style="120"/>
    <col min="5121" max="5121" width="8.125" style="120" customWidth="1"/>
    <col min="5122" max="5122" width="28.25" style="120" bestFit="1" customWidth="1"/>
    <col min="5123" max="5123" width="17.375" style="120" bestFit="1" customWidth="1"/>
    <col min="5124" max="5124" width="12.375" style="120" bestFit="1" customWidth="1"/>
    <col min="5125" max="5125" width="11.25" style="120" bestFit="1" customWidth="1"/>
    <col min="5126" max="5126" width="18.25" style="120" bestFit="1" customWidth="1"/>
    <col min="5127" max="5130" width="10.25" style="120" bestFit="1" customWidth="1"/>
    <col min="5131" max="5131" width="11.875" style="120" bestFit="1" customWidth="1"/>
    <col min="5132" max="5132" width="10.25" style="120" bestFit="1" customWidth="1"/>
    <col min="5133" max="5134" width="11.125" style="120" bestFit="1" customWidth="1"/>
    <col min="5135" max="5135" width="16.25" style="120" bestFit="1" customWidth="1"/>
    <col min="5136" max="5136" width="12" style="120" bestFit="1" customWidth="1"/>
    <col min="5137" max="5137" width="13.75" style="120" bestFit="1" customWidth="1"/>
    <col min="5138" max="5376" width="8.875" style="120"/>
    <col min="5377" max="5377" width="8.125" style="120" customWidth="1"/>
    <col min="5378" max="5378" width="28.25" style="120" bestFit="1" customWidth="1"/>
    <col min="5379" max="5379" width="17.375" style="120" bestFit="1" customWidth="1"/>
    <col min="5380" max="5380" width="12.375" style="120" bestFit="1" customWidth="1"/>
    <col min="5381" max="5381" width="11.25" style="120" bestFit="1" customWidth="1"/>
    <col min="5382" max="5382" width="18.25" style="120" bestFit="1" customWidth="1"/>
    <col min="5383" max="5386" width="10.25" style="120" bestFit="1" customWidth="1"/>
    <col min="5387" max="5387" width="11.875" style="120" bestFit="1" customWidth="1"/>
    <col min="5388" max="5388" width="10.25" style="120" bestFit="1" customWidth="1"/>
    <col min="5389" max="5390" width="11.125" style="120" bestFit="1" customWidth="1"/>
    <col min="5391" max="5391" width="16.25" style="120" bestFit="1" customWidth="1"/>
    <col min="5392" max="5392" width="12" style="120" bestFit="1" customWidth="1"/>
    <col min="5393" max="5393" width="13.75" style="120" bestFit="1" customWidth="1"/>
    <col min="5394" max="5632" width="8.875" style="120"/>
    <col min="5633" max="5633" width="8.125" style="120" customWidth="1"/>
    <col min="5634" max="5634" width="28.25" style="120" bestFit="1" customWidth="1"/>
    <col min="5635" max="5635" width="17.375" style="120" bestFit="1" customWidth="1"/>
    <col min="5636" max="5636" width="12.375" style="120" bestFit="1" customWidth="1"/>
    <col min="5637" max="5637" width="11.25" style="120" bestFit="1" customWidth="1"/>
    <col min="5638" max="5638" width="18.25" style="120" bestFit="1" customWidth="1"/>
    <col min="5639" max="5642" width="10.25" style="120" bestFit="1" customWidth="1"/>
    <col min="5643" max="5643" width="11.875" style="120" bestFit="1" customWidth="1"/>
    <col min="5644" max="5644" width="10.25" style="120" bestFit="1" customWidth="1"/>
    <col min="5645" max="5646" width="11.125" style="120" bestFit="1" customWidth="1"/>
    <col min="5647" max="5647" width="16.25" style="120" bestFit="1" customWidth="1"/>
    <col min="5648" max="5648" width="12" style="120" bestFit="1" customWidth="1"/>
    <col min="5649" max="5649" width="13.75" style="120" bestFit="1" customWidth="1"/>
    <col min="5650" max="5888" width="8.875" style="120"/>
    <col min="5889" max="5889" width="8.125" style="120" customWidth="1"/>
    <col min="5890" max="5890" width="28.25" style="120" bestFit="1" customWidth="1"/>
    <col min="5891" max="5891" width="17.375" style="120" bestFit="1" customWidth="1"/>
    <col min="5892" max="5892" width="12.375" style="120" bestFit="1" customWidth="1"/>
    <col min="5893" max="5893" width="11.25" style="120" bestFit="1" customWidth="1"/>
    <col min="5894" max="5894" width="18.25" style="120" bestFit="1" customWidth="1"/>
    <col min="5895" max="5898" width="10.25" style="120" bestFit="1" customWidth="1"/>
    <col min="5899" max="5899" width="11.875" style="120" bestFit="1" customWidth="1"/>
    <col min="5900" max="5900" width="10.25" style="120" bestFit="1" customWidth="1"/>
    <col min="5901" max="5902" width="11.125" style="120" bestFit="1" customWidth="1"/>
    <col min="5903" max="5903" width="16.25" style="120" bestFit="1" customWidth="1"/>
    <col min="5904" max="5904" width="12" style="120" bestFit="1" customWidth="1"/>
    <col min="5905" max="5905" width="13.75" style="120" bestFit="1" customWidth="1"/>
    <col min="5906" max="6144" width="8.875" style="120"/>
    <col min="6145" max="6145" width="8.125" style="120" customWidth="1"/>
    <col min="6146" max="6146" width="28.25" style="120" bestFit="1" customWidth="1"/>
    <col min="6147" max="6147" width="17.375" style="120" bestFit="1" customWidth="1"/>
    <col min="6148" max="6148" width="12.375" style="120" bestFit="1" customWidth="1"/>
    <col min="6149" max="6149" width="11.25" style="120" bestFit="1" customWidth="1"/>
    <col min="6150" max="6150" width="18.25" style="120" bestFit="1" customWidth="1"/>
    <col min="6151" max="6154" width="10.25" style="120" bestFit="1" customWidth="1"/>
    <col min="6155" max="6155" width="11.875" style="120" bestFit="1" customWidth="1"/>
    <col min="6156" max="6156" width="10.25" style="120" bestFit="1" customWidth="1"/>
    <col min="6157" max="6158" width="11.125" style="120" bestFit="1" customWidth="1"/>
    <col min="6159" max="6159" width="16.25" style="120" bestFit="1" customWidth="1"/>
    <col min="6160" max="6160" width="12" style="120" bestFit="1" customWidth="1"/>
    <col min="6161" max="6161" width="13.75" style="120" bestFit="1" customWidth="1"/>
    <col min="6162" max="6400" width="8.875" style="120"/>
    <col min="6401" max="6401" width="8.125" style="120" customWidth="1"/>
    <col min="6402" max="6402" width="28.25" style="120" bestFit="1" customWidth="1"/>
    <col min="6403" max="6403" width="17.375" style="120" bestFit="1" customWidth="1"/>
    <col min="6404" max="6404" width="12.375" style="120" bestFit="1" customWidth="1"/>
    <col min="6405" max="6405" width="11.25" style="120" bestFit="1" customWidth="1"/>
    <col min="6406" max="6406" width="18.25" style="120" bestFit="1" customWidth="1"/>
    <col min="6407" max="6410" width="10.25" style="120" bestFit="1" customWidth="1"/>
    <col min="6411" max="6411" width="11.875" style="120" bestFit="1" customWidth="1"/>
    <col min="6412" max="6412" width="10.25" style="120" bestFit="1" customWidth="1"/>
    <col min="6413" max="6414" width="11.125" style="120" bestFit="1" customWidth="1"/>
    <col min="6415" max="6415" width="16.25" style="120" bestFit="1" customWidth="1"/>
    <col min="6416" max="6416" width="12" style="120" bestFit="1" customWidth="1"/>
    <col min="6417" max="6417" width="13.75" style="120" bestFit="1" customWidth="1"/>
    <col min="6418" max="6656" width="8.875" style="120"/>
    <col min="6657" max="6657" width="8.125" style="120" customWidth="1"/>
    <col min="6658" max="6658" width="28.25" style="120" bestFit="1" customWidth="1"/>
    <col min="6659" max="6659" width="17.375" style="120" bestFit="1" customWidth="1"/>
    <col min="6660" max="6660" width="12.375" style="120" bestFit="1" customWidth="1"/>
    <col min="6661" max="6661" width="11.25" style="120" bestFit="1" customWidth="1"/>
    <col min="6662" max="6662" width="18.25" style="120" bestFit="1" customWidth="1"/>
    <col min="6663" max="6666" width="10.25" style="120" bestFit="1" customWidth="1"/>
    <col min="6667" max="6667" width="11.875" style="120" bestFit="1" customWidth="1"/>
    <col min="6668" max="6668" width="10.25" style="120" bestFit="1" customWidth="1"/>
    <col min="6669" max="6670" width="11.125" style="120" bestFit="1" customWidth="1"/>
    <col min="6671" max="6671" width="16.25" style="120" bestFit="1" customWidth="1"/>
    <col min="6672" max="6672" width="12" style="120" bestFit="1" customWidth="1"/>
    <col min="6673" max="6673" width="13.75" style="120" bestFit="1" customWidth="1"/>
    <col min="6674" max="6912" width="8.875" style="120"/>
    <col min="6913" max="6913" width="8.125" style="120" customWidth="1"/>
    <col min="6914" max="6914" width="28.25" style="120" bestFit="1" customWidth="1"/>
    <col min="6915" max="6915" width="17.375" style="120" bestFit="1" customWidth="1"/>
    <col min="6916" max="6916" width="12.375" style="120" bestFit="1" customWidth="1"/>
    <col min="6917" max="6917" width="11.25" style="120" bestFit="1" customWidth="1"/>
    <col min="6918" max="6918" width="18.25" style="120" bestFit="1" customWidth="1"/>
    <col min="6919" max="6922" width="10.25" style="120" bestFit="1" customWidth="1"/>
    <col min="6923" max="6923" width="11.875" style="120" bestFit="1" customWidth="1"/>
    <col min="6924" max="6924" width="10.25" style="120" bestFit="1" customWidth="1"/>
    <col min="6925" max="6926" width="11.125" style="120" bestFit="1" customWidth="1"/>
    <col min="6927" max="6927" width="16.25" style="120" bestFit="1" customWidth="1"/>
    <col min="6928" max="6928" width="12" style="120" bestFit="1" customWidth="1"/>
    <col min="6929" max="6929" width="13.75" style="120" bestFit="1" customWidth="1"/>
    <col min="6930" max="7168" width="8.875" style="120"/>
    <col min="7169" max="7169" width="8.125" style="120" customWidth="1"/>
    <col min="7170" max="7170" width="28.25" style="120" bestFit="1" customWidth="1"/>
    <col min="7171" max="7171" width="17.375" style="120" bestFit="1" customWidth="1"/>
    <col min="7172" max="7172" width="12.375" style="120" bestFit="1" customWidth="1"/>
    <col min="7173" max="7173" width="11.25" style="120" bestFit="1" customWidth="1"/>
    <col min="7174" max="7174" width="18.25" style="120" bestFit="1" customWidth="1"/>
    <col min="7175" max="7178" width="10.25" style="120" bestFit="1" customWidth="1"/>
    <col min="7179" max="7179" width="11.875" style="120" bestFit="1" customWidth="1"/>
    <col min="7180" max="7180" width="10.25" style="120" bestFit="1" customWidth="1"/>
    <col min="7181" max="7182" width="11.125" style="120" bestFit="1" customWidth="1"/>
    <col min="7183" max="7183" width="16.25" style="120" bestFit="1" customWidth="1"/>
    <col min="7184" max="7184" width="12" style="120" bestFit="1" customWidth="1"/>
    <col min="7185" max="7185" width="13.75" style="120" bestFit="1" customWidth="1"/>
    <col min="7186" max="7424" width="8.875" style="120"/>
    <col min="7425" max="7425" width="8.125" style="120" customWidth="1"/>
    <col min="7426" max="7426" width="28.25" style="120" bestFit="1" customWidth="1"/>
    <col min="7427" max="7427" width="17.375" style="120" bestFit="1" customWidth="1"/>
    <col min="7428" max="7428" width="12.375" style="120" bestFit="1" customWidth="1"/>
    <col min="7429" max="7429" width="11.25" style="120" bestFit="1" customWidth="1"/>
    <col min="7430" max="7430" width="18.25" style="120" bestFit="1" customWidth="1"/>
    <col min="7431" max="7434" width="10.25" style="120" bestFit="1" customWidth="1"/>
    <col min="7435" max="7435" width="11.875" style="120" bestFit="1" customWidth="1"/>
    <col min="7436" max="7436" width="10.25" style="120" bestFit="1" customWidth="1"/>
    <col min="7437" max="7438" width="11.125" style="120" bestFit="1" customWidth="1"/>
    <col min="7439" max="7439" width="16.25" style="120" bestFit="1" customWidth="1"/>
    <col min="7440" max="7440" width="12" style="120" bestFit="1" customWidth="1"/>
    <col min="7441" max="7441" width="13.75" style="120" bestFit="1" customWidth="1"/>
    <col min="7442" max="7680" width="8.875" style="120"/>
    <col min="7681" max="7681" width="8.125" style="120" customWidth="1"/>
    <col min="7682" max="7682" width="28.25" style="120" bestFit="1" customWidth="1"/>
    <col min="7683" max="7683" width="17.375" style="120" bestFit="1" customWidth="1"/>
    <col min="7684" max="7684" width="12.375" style="120" bestFit="1" customWidth="1"/>
    <col min="7685" max="7685" width="11.25" style="120" bestFit="1" customWidth="1"/>
    <col min="7686" max="7686" width="18.25" style="120" bestFit="1" customWidth="1"/>
    <col min="7687" max="7690" width="10.25" style="120" bestFit="1" customWidth="1"/>
    <col min="7691" max="7691" width="11.875" style="120" bestFit="1" customWidth="1"/>
    <col min="7692" max="7692" width="10.25" style="120" bestFit="1" customWidth="1"/>
    <col min="7693" max="7694" width="11.125" style="120" bestFit="1" customWidth="1"/>
    <col min="7695" max="7695" width="16.25" style="120" bestFit="1" customWidth="1"/>
    <col min="7696" max="7696" width="12" style="120" bestFit="1" customWidth="1"/>
    <col min="7697" max="7697" width="13.75" style="120" bestFit="1" customWidth="1"/>
    <col min="7698" max="7936" width="8.875" style="120"/>
    <col min="7937" max="7937" width="8.125" style="120" customWidth="1"/>
    <col min="7938" max="7938" width="28.25" style="120" bestFit="1" customWidth="1"/>
    <col min="7939" max="7939" width="17.375" style="120" bestFit="1" customWidth="1"/>
    <col min="7940" max="7940" width="12.375" style="120" bestFit="1" customWidth="1"/>
    <col min="7941" max="7941" width="11.25" style="120" bestFit="1" customWidth="1"/>
    <col min="7942" max="7942" width="18.25" style="120" bestFit="1" customWidth="1"/>
    <col min="7943" max="7946" width="10.25" style="120" bestFit="1" customWidth="1"/>
    <col min="7947" max="7947" width="11.875" style="120" bestFit="1" customWidth="1"/>
    <col min="7948" max="7948" width="10.25" style="120" bestFit="1" customWidth="1"/>
    <col min="7949" max="7950" width="11.125" style="120" bestFit="1" customWidth="1"/>
    <col min="7951" max="7951" width="16.25" style="120" bestFit="1" customWidth="1"/>
    <col min="7952" max="7952" width="12" style="120" bestFit="1" customWidth="1"/>
    <col min="7953" max="7953" width="13.75" style="120" bestFit="1" customWidth="1"/>
    <col min="7954" max="8192" width="8.875" style="120"/>
    <col min="8193" max="8193" width="8.125" style="120" customWidth="1"/>
    <col min="8194" max="8194" width="28.25" style="120" bestFit="1" customWidth="1"/>
    <col min="8195" max="8195" width="17.375" style="120" bestFit="1" customWidth="1"/>
    <col min="8196" max="8196" width="12.375" style="120" bestFit="1" customWidth="1"/>
    <col min="8197" max="8197" width="11.25" style="120" bestFit="1" customWidth="1"/>
    <col min="8198" max="8198" width="18.25" style="120" bestFit="1" customWidth="1"/>
    <col min="8199" max="8202" width="10.25" style="120" bestFit="1" customWidth="1"/>
    <col min="8203" max="8203" width="11.875" style="120" bestFit="1" customWidth="1"/>
    <col min="8204" max="8204" width="10.25" style="120" bestFit="1" customWidth="1"/>
    <col min="8205" max="8206" width="11.125" style="120" bestFit="1" customWidth="1"/>
    <col min="8207" max="8207" width="16.25" style="120" bestFit="1" customWidth="1"/>
    <col min="8208" max="8208" width="12" style="120" bestFit="1" customWidth="1"/>
    <col min="8209" max="8209" width="13.75" style="120" bestFit="1" customWidth="1"/>
    <col min="8210" max="8448" width="8.875" style="120"/>
    <col min="8449" max="8449" width="8.125" style="120" customWidth="1"/>
    <col min="8450" max="8450" width="28.25" style="120" bestFit="1" customWidth="1"/>
    <col min="8451" max="8451" width="17.375" style="120" bestFit="1" customWidth="1"/>
    <col min="8452" max="8452" width="12.375" style="120" bestFit="1" customWidth="1"/>
    <col min="8453" max="8453" width="11.25" style="120" bestFit="1" customWidth="1"/>
    <col min="8454" max="8454" width="18.25" style="120" bestFit="1" customWidth="1"/>
    <col min="8455" max="8458" width="10.25" style="120" bestFit="1" customWidth="1"/>
    <col min="8459" max="8459" width="11.875" style="120" bestFit="1" customWidth="1"/>
    <col min="8460" max="8460" width="10.25" style="120" bestFit="1" customWidth="1"/>
    <col min="8461" max="8462" width="11.125" style="120" bestFit="1" customWidth="1"/>
    <col min="8463" max="8463" width="16.25" style="120" bestFit="1" customWidth="1"/>
    <col min="8464" max="8464" width="12" style="120" bestFit="1" customWidth="1"/>
    <col min="8465" max="8465" width="13.75" style="120" bestFit="1" customWidth="1"/>
    <col min="8466" max="8704" width="8.875" style="120"/>
    <col min="8705" max="8705" width="8.125" style="120" customWidth="1"/>
    <col min="8706" max="8706" width="28.25" style="120" bestFit="1" customWidth="1"/>
    <col min="8707" max="8707" width="17.375" style="120" bestFit="1" customWidth="1"/>
    <col min="8708" max="8708" width="12.375" style="120" bestFit="1" customWidth="1"/>
    <col min="8709" max="8709" width="11.25" style="120" bestFit="1" customWidth="1"/>
    <col min="8710" max="8710" width="18.25" style="120" bestFit="1" customWidth="1"/>
    <col min="8711" max="8714" width="10.25" style="120" bestFit="1" customWidth="1"/>
    <col min="8715" max="8715" width="11.875" style="120" bestFit="1" customWidth="1"/>
    <col min="8716" max="8716" width="10.25" style="120" bestFit="1" customWidth="1"/>
    <col min="8717" max="8718" width="11.125" style="120" bestFit="1" customWidth="1"/>
    <col min="8719" max="8719" width="16.25" style="120" bestFit="1" customWidth="1"/>
    <col min="8720" max="8720" width="12" style="120" bestFit="1" customWidth="1"/>
    <col min="8721" max="8721" width="13.75" style="120" bestFit="1" customWidth="1"/>
    <col min="8722" max="8960" width="8.875" style="120"/>
    <col min="8961" max="8961" width="8.125" style="120" customWidth="1"/>
    <col min="8962" max="8962" width="28.25" style="120" bestFit="1" customWidth="1"/>
    <col min="8963" max="8963" width="17.375" style="120" bestFit="1" customWidth="1"/>
    <col min="8964" max="8964" width="12.375" style="120" bestFit="1" customWidth="1"/>
    <col min="8965" max="8965" width="11.25" style="120" bestFit="1" customWidth="1"/>
    <col min="8966" max="8966" width="18.25" style="120" bestFit="1" customWidth="1"/>
    <col min="8967" max="8970" width="10.25" style="120" bestFit="1" customWidth="1"/>
    <col min="8971" max="8971" width="11.875" style="120" bestFit="1" customWidth="1"/>
    <col min="8972" max="8972" width="10.25" style="120" bestFit="1" customWidth="1"/>
    <col min="8973" max="8974" width="11.125" style="120" bestFit="1" customWidth="1"/>
    <col min="8975" max="8975" width="16.25" style="120" bestFit="1" customWidth="1"/>
    <col min="8976" max="8976" width="12" style="120" bestFit="1" customWidth="1"/>
    <col min="8977" max="8977" width="13.75" style="120" bestFit="1" customWidth="1"/>
    <col min="8978" max="9216" width="8.875" style="120"/>
    <col min="9217" max="9217" width="8.125" style="120" customWidth="1"/>
    <col min="9218" max="9218" width="28.25" style="120" bestFit="1" customWidth="1"/>
    <col min="9219" max="9219" width="17.375" style="120" bestFit="1" customWidth="1"/>
    <col min="9220" max="9220" width="12.375" style="120" bestFit="1" customWidth="1"/>
    <col min="9221" max="9221" width="11.25" style="120" bestFit="1" customWidth="1"/>
    <col min="9222" max="9222" width="18.25" style="120" bestFit="1" customWidth="1"/>
    <col min="9223" max="9226" width="10.25" style="120" bestFit="1" customWidth="1"/>
    <col min="9227" max="9227" width="11.875" style="120" bestFit="1" customWidth="1"/>
    <col min="9228" max="9228" width="10.25" style="120" bestFit="1" customWidth="1"/>
    <col min="9229" max="9230" width="11.125" style="120" bestFit="1" customWidth="1"/>
    <col min="9231" max="9231" width="16.25" style="120" bestFit="1" customWidth="1"/>
    <col min="9232" max="9232" width="12" style="120" bestFit="1" customWidth="1"/>
    <col min="9233" max="9233" width="13.75" style="120" bestFit="1" customWidth="1"/>
    <col min="9234" max="9472" width="8.875" style="120"/>
    <col min="9473" max="9473" width="8.125" style="120" customWidth="1"/>
    <col min="9474" max="9474" width="28.25" style="120" bestFit="1" customWidth="1"/>
    <col min="9475" max="9475" width="17.375" style="120" bestFit="1" customWidth="1"/>
    <col min="9476" max="9476" width="12.375" style="120" bestFit="1" customWidth="1"/>
    <col min="9477" max="9477" width="11.25" style="120" bestFit="1" customWidth="1"/>
    <col min="9478" max="9478" width="18.25" style="120" bestFit="1" customWidth="1"/>
    <col min="9479" max="9482" width="10.25" style="120" bestFit="1" customWidth="1"/>
    <col min="9483" max="9483" width="11.875" style="120" bestFit="1" customWidth="1"/>
    <col min="9484" max="9484" width="10.25" style="120" bestFit="1" customWidth="1"/>
    <col min="9485" max="9486" width="11.125" style="120" bestFit="1" customWidth="1"/>
    <col min="9487" max="9487" width="16.25" style="120" bestFit="1" customWidth="1"/>
    <col min="9488" max="9488" width="12" style="120" bestFit="1" customWidth="1"/>
    <col min="9489" max="9489" width="13.75" style="120" bestFit="1" customWidth="1"/>
    <col min="9490" max="9728" width="8.875" style="120"/>
    <col min="9729" max="9729" width="8.125" style="120" customWidth="1"/>
    <col min="9730" max="9730" width="28.25" style="120" bestFit="1" customWidth="1"/>
    <col min="9731" max="9731" width="17.375" style="120" bestFit="1" customWidth="1"/>
    <col min="9732" max="9732" width="12.375" style="120" bestFit="1" customWidth="1"/>
    <col min="9733" max="9733" width="11.25" style="120" bestFit="1" customWidth="1"/>
    <col min="9734" max="9734" width="18.25" style="120" bestFit="1" customWidth="1"/>
    <col min="9735" max="9738" width="10.25" style="120" bestFit="1" customWidth="1"/>
    <col min="9739" max="9739" width="11.875" style="120" bestFit="1" customWidth="1"/>
    <col min="9740" max="9740" width="10.25" style="120" bestFit="1" customWidth="1"/>
    <col min="9741" max="9742" width="11.125" style="120" bestFit="1" customWidth="1"/>
    <col min="9743" max="9743" width="16.25" style="120" bestFit="1" customWidth="1"/>
    <col min="9744" max="9744" width="12" style="120" bestFit="1" customWidth="1"/>
    <col min="9745" max="9745" width="13.75" style="120" bestFit="1" customWidth="1"/>
    <col min="9746" max="9984" width="8.875" style="120"/>
    <col min="9985" max="9985" width="8.125" style="120" customWidth="1"/>
    <col min="9986" max="9986" width="28.25" style="120" bestFit="1" customWidth="1"/>
    <col min="9987" max="9987" width="17.375" style="120" bestFit="1" customWidth="1"/>
    <col min="9988" max="9988" width="12.375" style="120" bestFit="1" customWidth="1"/>
    <col min="9989" max="9989" width="11.25" style="120" bestFit="1" customWidth="1"/>
    <col min="9990" max="9990" width="18.25" style="120" bestFit="1" customWidth="1"/>
    <col min="9991" max="9994" width="10.25" style="120" bestFit="1" customWidth="1"/>
    <col min="9995" max="9995" width="11.875" style="120" bestFit="1" customWidth="1"/>
    <col min="9996" max="9996" width="10.25" style="120" bestFit="1" customWidth="1"/>
    <col min="9997" max="9998" width="11.125" style="120" bestFit="1" customWidth="1"/>
    <col min="9999" max="9999" width="16.25" style="120" bestFit="1" customWidth="1"/>
    <col min="10000" max="10000" width="12" style="120" bestFit="1" customWidth="1"/>
    <col min="10001" max="10001" width="13.75" style="120" bestFit="1" customWidth="1"/>
    <col min="10002" max="10240" width="8.875" style="120"/>
    <col min="10241" max="10241" width="8.125" style="120" customWidth="1"/>
    <col min="10242" max="10242" width="28.25" style="120" bestFit="1" customWidth="1"/>
    <col min="10243" max="10243" width="17.375" style="120" bestFit="1" customWidth="1"/>
    <col min="10244" max="10244" width="12.375" style="120" bestFit="1" customWidth="1"/>
    <col min="10245" max="10245" width="11.25" style="120" bestFit="1" customWidth="1"/>
    <col min="10246" max="10246" width="18.25" style="120" bestFit="1" customWidth="1"/>
    <col min="10247" max="10250" width="10.25" style="120" bestFit="1" customWidth="1"/>
    <col min="10251" max="10251" width="11.875" style="120" bestFit="1" customWidth="1"/>
    <col min="10252" max="10252" width="10.25" style="120" bestFit="1" customWidth="1"/>
    <col min="10253" max="10254" width="11.125" style="120" bestFit="1" customWidth="1"/>
    <col min="10255" max="10255" width="16.25" style="120" bestFit="1" customWidth="1"/>
    <col min="10256" max="10256" width="12" style="120" bestFit="1" customWidth="1"/>
    <col min="10257" max="10257" width="13.75" style="120" bestFit="1" customWidth="1"/>
    <col min="10258" max="10496" width="8.875" style="120"/>
    <col min="10497" max="10497" width="8.125" style="120" customWidth="1"/>
    <col min="10498" max="10498" width="28.25" style="120" bestFit="1" customWidth="1"/>
    <col min="10499" max="10499" width="17.375" style="120" bestFit="1" customWidth="1"/>
    <col min="10500" max="10500" width="12.375" style="120" bestFit="1" customWidth="1"/>
    <col min="10501" max="10501" width="11.25" style="120" bestFit="1" customWidth="1"/>
    <col min="10502" max="10502" width="18.25" style="120" bestFit="1" customWidth="1"/>
    <col min="10503" max="10506" width="10.25" style="120" bestFit="1" customWidth="1"/>
    <col min="10507" max="10507" width="11.875" style="120" bestFit="1" customWidth="1"/>
    <col min="10508" max="10508" width="10.25" style="120" bestFit="1" customWidth="1"/>
    <col min="10509" max="10510" width="11.125" style="120" bestFit="1" customWidth="1"/>
    <col min="10511" max="10511" width="16.25" style="120" bestFit="1" customWidth="1"/>
    <col min="10512" max="10512" width="12" style="120" bestFit="1" customWidth="1"/>
    <col min="10513" max="10513" width="13.75" style="120" bestFit="1" customWidth="1"/>
    <col min="10514" max="10752" width="8.875" style="120"/>
    <col min="10753" max="10753" width="8.125" style="120" customWidth="1"/>
    <col min="10754" max="10754" width="28.25" style="120" bestFit="1" customWidth="1"/>
    <col min="10755" max="10755" width="17.375" style="120" bestFit="1" customWidth="1"/>
    <col min="10756" max="10756" width="12.375" style="120" bestFit="1" customWidth="1"/>
    <col min="10757" max="10757" width="11.25" style="120" bestFit="1" customWidth="1"/>
    <col min="10758" max="10758" width="18.25" style="120" bestFit="1" customWidth="1"/>
    <col min="10759" max="10762" width="10.25" style="120" bestFit="1" customWidth="1"/>
    <col min="10763" max="10763" width="11.875" style="120" bestFit="1" customWidth="1"/>
    <col min="10764" max="10764" width="10.25" style="120" bestFit="1" customWidth="1"/>
    <col min="10765" max="10766" width="11.125" style="120" bestFit="1" customWidth="1"/>
    <col min="10767" max="10767" width="16.25" style="120" bestFit="1" customWidth="1"/>
    <col min="10768" max="10768" width="12" style="120" bestFit="1" customWidth="1"/>
    <col min="10769" max="10769" width="13.75" style="120" bestFit="1" customWidth="1"/>
    <col min="10770" max="11008" width="8.875" style="120"/>
    <col min="11009" max="11009" width="8.125" style="120" customWidth="1"/>
    <col min="11010" max="11010" width="28.25" style="120" bestFit="1" customWidth="1"/>
    <col min="11011" max="11011" width="17.375" style="120" bestFit="1" customWidth="1"/>
    <col min="11012" max="11012" width="12.375" style="120" bestFit="1" customWidth="1"/>
    <col min="11013" max="11013" width="11.25" style="120" bestFit="1" customWidth="1"/>
    <col min="11014" max="11014" width="18.25" style="120" bestFit="1" customWidth="1"/>
    <col min="11015" max="11018" width="10.25" style="120" bestFit="1" customWidth="1"/>
    <col min="11019" max="11019" width="11.875" style="120" bestFit="1" customWidth="1"/>
    <col min="11020" max="11020" width="10.25" style="120" bestFit="1" customWidth="1"/>
    <col min="11021" max="11022" width="11.125" style="120" bestFit="1" customWidth="1"/>
    <col min="11023" max="11023" width="16.25" style="120" bestFit="1" customWidth="1"/>
    <col min="11024" max="11024" width="12" style="120" bestFit="1" customWidth="1"/>
    <col min="11025" max="11025" width="13.75" style="120" bestFit="1" customWidth="1"/>
    <col min="11026" max="11264" width="8.875" style="120"/>
    <col min="11265" max="11265" width="8.125" style="120" customWidth="1"/>
    <col min="11266" max="11266" width="28.25" style="120" bestFit="1" customWidth="1"/>
    <col min="11267" max="11267" width="17.375" style="120" bestFit="1" customWidth="1"/>
    <col min="11268" max="11268" width="12.375" style="120" bestFit="1" customWidth="1"/>
    <col min="11269" max="11269" width="11.25" style="120" bestFit="1" customWidth="1"/>
    <col min="11270" max="11270" width="18.25" style="120" bestFit="1" customWidth="1"/>
    <col min="11271" max="11274" width="10.25" style="120" bestFit="1" customWidth="1"/>
    <col min="11275" max="11275" width="11.875" style="120" bestFit="1" customWidth="1"/>
    <col min="11276" max="11276" width="10.25" style="120" bestFit="1" customWidth="1"/>
    <col min="11277" max="11278" width="11.125" style="120" bestFit="1" customWidth="1"/>
    <col min="11279" max="11279" width="16.25" style="120" bestFit="1" customWidth="1"/>
    <col min="11280" max="11280" width="12" style="120" bestFit="1" customWidth="1"/>
    <col min="11281" max="11281" width="13.75" style="120" bestFit="1" customWidth="1"/>
    <col min="11282" max="11520" width="8.875" style="120"/>
    <col min="11521" max="11521" width="8.125" style="120" customWidth="1"/>
    <col min="11522" max="11522" width="28.25" style="120" bestFit="1" customWidth="1"/>
    <col min="11523" max="11523" width="17.375" style="120" bestFit="1" customWidth="1"/>
    <col min="11524" max="11524" width="12.375" style="120" bestFit="1" customWidth="1"/>
    <col min="11525" max="11525" width="11.25" style="120" bestFit="1" customWidth="1"/>
    <col min="11526" max="11526" width="18.25" style="120" bestFit="1" customWidth="1"/>
    <col min="11527" max="11530" width="10.25" style="120" bestFit="1" customWidth="1"/>
    <col min="11531" max="11531" width="11.875" style="120" bestFit="1" customWidth="1"/>
    <col min="11532" max="11532" width="10.25" style="120" bestFit="1" customWidth="1"/>
    <col min="11533" max="11534" width="11.125" style="120" bestFit="1" customWidth="1"/>
    <col min="11535" max="11535" width="16.25" style="120" bestFit="1" customWidth="1"/>
    <col min="11536" max="11536" width="12" style="120" bestFit="1" customWidth="1"/>
    <col min="11537" max="11537" width="13.75" style="120" bestFit="1" customWidth="1"/>
    <col min="11538" max="11776" width="8.875" style="120"/>
    <col min="11777" max="11777" width="8.125" style="120" customWidth="1"/>
    <col min="11778" max="11778" width="28.25" style="120" bestFit="1" customWidth="1"/>
    <col min="11779" max="11779" width="17.375" style="120" bestFit="1" customWidth="1"/>
    <col min="11780" max="11780" width="12.375" style="120" bestFit="1" customWidth="1"/>
    <col min="11781" max="11781" width="11.25" style="120" bestFit="1" customWidth="1"/>
    <col min="11782" max="11782" width="18.25" style="120" bestFit="1" customWidth="1"/>
    <col min="11783" max="11786" width="10.25" style="120" bestFit="1" customWidth="1"/>
    <col min="11787" max="11787" width="11.875" style="120" bestFit="1" customWidth="1"/>
    <col min="11788" max="11788" width="10.25" style="120" bestFit="1" customWidth="1"/>
    <col min="11789" max="11790" width="11.125" style="120" bestFit="1" customWidth="1"/>
    <col min="11791" max="11791" width="16.25" style="120" bestFit="1" customWidth="1"/>
    <col min="11792" max="11792" width="12" style="120" bestFit="1" customWidth="1"/>
    <col min="11793" max="11793" width="13.75" style="120" bestFit="1" customWidth="1"/>
    <col min="11794" max="12032" width="8.875" style="120"/>
    <col min="12033" max="12033" width="8.125" style="120" customWidth="1"/>
    <col min="12034" max="12034" width="28.25" style="120" bestFit="1" customWidth="1"/>
    <col min="12035" max="12035" width="17.375" style="120" bestFit="1" customWidth="1"/>
    <col min="12036" max="12036" width="12.375" style="120" bestFit="1" customWidth="1"/>
    <col min="12037" max="12037" width="11.25" style="120" bestFit="1" customWidth="1"/>
    <col min="12038" max="12038" width="18.25" style="120" bestFit="1" customWidth="1"/>
    <col min="12039" max="12042" width="10.25" style="120" bestFit="1" customWidth="1"/>
    <col min="12043" max="12043" width="11.875" style="120" bestFit="1" customWidth="1"/>
    <col min="12044" max="12044" width="10.25" style="120" bestFit="1" customWidth="1"/>
    <col min="12045" max="12046" width="11.125" style="120" bestFit="1" customWidth="1"/>
    <col min="12047" max="12047" width="16.25" style="120" bestFit="1" customWidth="1"/>
    <col min="12048" max="12048" width="12" style="120" bestFit="1" customWidth="1"/>
    <col min="12049" max="12049" width="13.75" style="120" bestFit="1" customWidth="1"/>
    <col min="12050" max="12288" width="8.875" style="120"/>
    <col min="12289" max="12289" width="8.125" style="120" customWidth="1"/>
    <col min="12290" max="12290" width="28.25" style="120" bestFit="1" customWidth="1"/>
    <col min="12291" max="12291" width="17.375" style="120" bestFit="1" customWidth="1"/>
    <col min="12292" max="12292" width="12.375" style="120" bestFit="1" customWidth="1"/>
    <col min="12293" max="12293" width="11.25" style="120" bestFit="1" customWidth="1"/>
    <col min="12294" max="12294" width="18.25" style="120" bestFit="1" customWidth="1"/>
    <col min="12295" max="12298" width="10.25" style="120" bestFit="1" customWidth="1"/>
    <col min="12299" max="12299" width="11.875" style="120" bestFit="1" customWidth="1"/>
    <col min="12300" max="12300" width="10.25" style="120" bestFit="1" customWidth="1"/>
    <col min="12301" max="12302" width="11.125" style="120" bestFit="1" customWidth="1"/>
    <col min="12303" max="12303" width="16.25" style="120" bestFit="1" customWidth="1"/>
    <col min="12304" max="12304" width="12" style="120" bestFit="1" customWidth="1"/>
    <col min="12305" max="12305" width="13.75" style="120" bestFit="1" customWidth="1"/>
    <col min="12306" max="12544" width="8.875" style="120"/>
    <col min="12545" max="12545" width="8.125" style="120" customWidth="1"/>
    <col min="12546" max="12546" width="28.25" style="120" bestFit="1" customWidth="1"/>
    <col min="12547" max="12547" width="17.375" style="120" bestFit="1" customWidth="1"/>
    <col min="12548" max="12548" width="12.375" style="120" bestFit="1" customWidth="1"/>
    <col min="12549" max="12549" width="11.25" style="120" bestFit="1" customWidth="1"/>
    <col min="12550" max="12550" width="18.25" style="120" bestFit="1" customWidth="1"/>
    <col min="12551" max="12554" width="10.25" style="120" bestFit="1" customWidth="1"/>
    <col min="12555" max="12555" width="11.875" style="120" bestFit="1" customWidth="1"/>
    <col min="12556" max="12556" width="10.25" style="120" bestFit="1" customWidth="1"/>
    <col min="12557" max="12558" width="11.125" style="120" bestFit="1" customWidth="1"/>
    <col min="12559" max="12559" width="16.25" style="120" bestFit="1" customWidth="1"/>
    <col min="12560" max="12560" width="12" style="120" bestFit="1" customWidth="1"/>
    <col min="12561" max="12561" width="13.75" style="120" bestFit="1" customWidth="1"/>
    <col min="12562" max="12800" width="8.875" style="120"/>
    <col min="12801" max="12801" width="8.125" style="120" customWidth="1"/>
    <col min="12802" max="12802" width="28.25" style="120" bestFit="1" customWidth="1"/>
    <col min="12803" max="12803" width="17.375" style="120" bestFit="1" customWidth="1"/>
    <col min="12804" max="12804" width="12.375" style="120" bestFit="1" customWidth="1"/>
    <col min="12805" max="12805" width="11.25" style="120" bestFit="1" customWidth="1"/>
    <col min="12806" max="12806" width="18.25" style="120" bestFit="1" customWidth="1"/>
    <col min="12807" max="12810" width="10.25" style="120" bestFit="1" customWidth="1"/>
    <col min="12811" max="12811" width="11.875" style="120" bestFit="1" customWidth="1"/>
    <col min="12812" max="12812" width="10.25" style="120" bestFit="1" customWidth="1"/>
    <col min="12813" max="12814" width="11.125" style="120" bestFit="1" customWidth="1"/>
    <col min="12815" max="12815" width="16.25" style="120" bestFit="1" customWidth="1"/>
    <col min="12816" max="12816" width="12" style="120" bestFit="1" customWidth="1"/>
    <col min="12817" max="12817" width="13.75" style="120" bestFit="1" customWidth="1"/>
    <col min="12818" max="13056" width="8.875" style="120"/>
    <col min="13057" max="13057" width="8.125" style="120" customWidth="1"/>
    <col min="13058" max="13058" width="28.25" style="120" bestFit="1" customWidth="1"/>
    <col min="13059" max="13059" width="17.375" style="120" bestFit="1" customWidth="1"/>
    <col min="13060" max="13060" width="12.375" style="120" bestFit="1" customWidth="1"/>
    <col min="13061" max="13061" width="11.25" style="120" bestFit="1" customWidth="1"/>
    <col min="13062" max="13062" width="18.25" style="120" bestFit="1" customWidth="1"/>
    <col min="13063" max="13066" width="10.25" style="120" bestFit="1" customWidth="1"/>
    <col min="13067" max="13067" width="11.875" style="120" bestFit="1" customWidth="1"/>
    <col min="13068" max="13068" width="10.25" style="120" bestFit="1" customWidth="1"/>
    <col min="13069" max="13070" width="11.125" style="120" bestFit="1" customWidth="1"/>
    <col min="13071" max="13071" width="16.25" style="120" bestFit="1" customWidth="1"/>
    <col min="13072" max="13072" width="12" style="120" bestFit="1" customWidth="1"/>
    <col min="13073" max="13073" width="13.75" style="120" bestFit="1" customWidth="1"/>
    <col min="13074" max="13312" width="8.875" style="120"/>
    <col min="13313" max="13313" width="8.125" style="120" customWidth="1"/>
    <col min="13314" max="13314" width="28.25" style="120" bestFit="1" customWidth="1"/>
    <col min="13315" max="13315" width="17.375" style="120" bestFit="1" customWidth="1"/>
    <col min="13316" max="13316" width="12.375" style="120" bestFit="1" customWidth="1"/>
    <col min="13317" max="13317" width="11.25" style="120" bestFit="1" customWidth="1"/>
    <col min="13318" max="13318" width="18.25" style="120" bestFit="1" customWidth="1"/>
    <col min="13319" max="13322" width="10.25" style="120" bestFit="1" customWidth="1"/>
    <col min="13323" max="13323" width="11.875" style="120" bestFit="1" customWidth="1"/>
    <col min="13324" max="13324" width="10.25" style="120" bestFit="1" customWidth="1"/>
    <col min="13325" max="13326" width="11.125" style="120" bestFit="1" customWidth="1"/>
    <col min="13327" max="13327" width="16.25" style="120" bestFit="1" customWidth="1"/>
    <col min="13328" max="13328" width="12" style="120" bestFit="1" customWidth="1"/>
    <col min="13329" max="13329" width="13.75" style="120" bestFit="1" customWidth="1"/>
    <col min="13330" max="13568" width="8.875" style="120"/>
    <col min="13569" max="13569" width="8.125" style="120" customWidth="1"/>
    <col min="13570" max="13570" width="28.25" style="120" bestFit="1" customWidth="1"/>
    <col min="13571" max="13571" width="17.375" style="120" bestFit="1" customWidth="1"/>
    <col min="13572" max="13572" width="12.375" style="120" bestFit="1" customWidth="1"/>
    <col min="13573" max="13573" width="11.25" style="120" bestFit="1" customWidth="1"/>
    <col min="13574" max="13574" width="18.25" style="120" bestFit="1" customWidth="1"/>
    <col min="13575" max="13578" width="10.25" style="120" bestFit="1" customWidth="1"/>
    <col min="13579" max="13579" width="11.875" style="120" bestFit="1" customWidth="1"/>
    <col min="13580" max="13580" width="10.25" style="120" bestFit="1" customWidth="1"/>
    <col min="13581" max="13582" width="11.125" style="120" bestFit="1" customWidth="1"/>
    <col min="13583" max="13583" width="16.25" style="120" bestFit="1" customWidth="1"/>
    <col min="13584" max="13584" width="12" style="120" bestFit="1" customWidth="1"/>
    <col min="13585" max="13585" width="13.75" style="120" bestFit="1" customWidth="1"/>
    <col min="13586" max="13824" width="8.875" style="120"/>
    <col min="13825" max="13825" width="8.125" style="120" customWidth="1"/>
    <col min="13826" max="13826" width="28.25" style="120" bestFit="1" customWidth="1"/>
    <col min="13827" max="13827" width="17.375" style="120" bestFit="1" customWidth="1"/>
    <col min="13828" max="13828" width="12.375" style="120" bestFit="1" customWidth="1"/>
    <col min="13829" max="13829" width="11.25" style="120" bestFit="1" customWidth="1"/>
    <col min="13830" max="13830" width="18.25" style="120" bestFit="1" customWidth="1"/>
    <col min="13831" max="13834" width="10.25" style="120" bestFit="1" customWidth="1"/>
    <col min="13835" max="13835" width="11.875" style="120" bestFit="1" customWidth="1"/>
    <col min="13836" max="13836" width="10.25" style="120" bestFit="1" customWidth="1"/>
    <col min="13837" max="13838" width="11.125" style="120" bestFit="1" customWidth="1"/>
    <col min="13839" max="13839" width="16.25" style="120" bestFit="1" customWidth="1"/>
    <col min="13840" max="13840" width="12" style="120" bestFit="1" customWidth="1"/>
    <col min="13841" max="13841" width="13.75" style="120" bestFit="1" customWidth="1"/>
    <col min="13842" max="14080" width="8.875" style="120"/>
    <col min="14081" max="14081" width="8.125" style="120" customWidth="1"/>
    <col min="14082" max="14082" width="28.25" style="120" bestFit="1" customWidth="1"/>
    <col min="14083" max="14083" width="17.375" style="120" bestFit="1" customWidth="1"/>
    <col min="14084" max="14084" width="12.375" style="120" bestFit="1" customWidth="1"/>
    <col min="14085" max="14085" width="11.25" style="120" bestFit="1" customWidth="1"/>
    <col min="14086" max="14086" width="18.25" style="120" bestFit="1" customWidth="1"/>
    <col min="14087" max="14090" width="10.25" style="120" bestFit="1" customWidth="1"/>
    <col min="14091" max="14091" width="11.875" style="120" bestFit="1" customWidth="1"/>
    <col min="14092" max="14092" width="10.25" style="120" bestFit="1" customWidth="1"/>
    <col min="14093" max="14094" width="11.125" style="120" bestFit="1" customWidth="1"/>
    <col min="14095" max="14095" width="16.25" style="120" bestFit="1" customWidth="1"/>
    <col min="14096" max="14096" width="12" style="120" bestFit="1" customWidth="1"/>
    <col min="14097" max="14097" width="13.75" style="120" bestFit="1" customWidth="1"/>
    <col min="14098" max="14336" width="8.875" style="120"/>
    <col min="14337" max="14337" width="8.125" style="120" customWidth="1"/>
    <col min="14338" max="14338" width="28.25" style="120" bestFit="1" customWidth="1"/>
    <col min="14339" max="14339" width="17.375" style="120" bestFit="1" customWidth="1"/>
    <col min="14340" max="14340" width="12.375" style="120" bestFit="1" customWidth="1"/>
    <col min="14341" max="14341" width="11.25" style="120" bestFit="1" customWidth="1"/>
    <col min="14342" max="14342" width="18.25" style="120" bestFit="1" customWidth="1"/>
    <col min="14343" max="14346" width="10.25" style="120" bestFit="1" customWidth="1"/>
    <col min="14347" max="14347" width="11.875" style="120" bestFit="1" customWidth="1"/>
    <col min="14348" max="14348" width="10.25" style="120" bestFit="1" customWidth="1"/>
    <col min="14349" max="14350" width="11.125" style="120" bestFit="1" customWidth="1"/>
    <col min="14351" max="14351" width="16.25" style="120" bestFit="1" customWidth="1"/>
    <col min="14352" max="14352" width="12" style="120" bestFit="1" customWidth="1"/>
    <col min="14353" max="14353" width="13.75" style="120" bestFit="1" customWidth="1"/>
    <col min="14354" max="14592" width="8.875" style="120"/>
    <col min="14593" max="14593" width="8.125" style="120" customWidth="1"/>
    <col min="14594" max="14594" width="28.25" style="120" bestFit="1" customWidth="1"/>
    <col min="14595" max="14595" width="17.375" style="120" bestFit="1" customWidth="1"/>
    <col min="14596" max="14596" width="12.375" style="120" bestFit="1" customWidth="1"/>
    <col min="14597" max="14597" width="11.25" style="120" bestFit="1" customWidth="1"/>
    <col min="14598" max="14598" width="18.25" style="120" bestFit="1" customWidth="1"/>
    <col min="14599" max="14602" width="10.25" style="120" bestFit="1" customWidth="1"/>
    <col min="14603" max="14603" width="11.875" style="120" bestFit="1" customWidth="1"/>
    <col min="14604" max="14604" width="10.25" style="120" bestFit="1" customWidth="1"/>
    <col min="14605" max="14606" width="11.125" style="120" bestFit="1" customWidth="1"/>
    <col min="14607" max="14607" width="16.25" style="120" bestFit="1" customWidth="1"/>
    <col min="14608" max="14608" width="12" style="120" bestFit="1" customWidth="1"/>
    <col min="14609" max="14609" width="13.75" style="120" bestFit="1" customWidth="1"/>
    <col min="14610" max="14848" width="8.875" style="120"/>
    <col min="14849" max="14849" width="8.125" style="120" customWidth="1"/>
    <col min="14850" max="14850" width="28.25" style="120" bestFit="1" customWidth="1"/>
    <col min="14851" max="14851" width="17.375" style="120" bestFit="1" customWidth="1"/>
    <col min="14852" max="14852" width="12.375" style="120" bestFit="1" customWidth="1"/>
    <col min="14853" max="14853" width="11.25" style="120" bestFit="1" customWidth="1"/>
    <col min="14854" max="14854" width="18.25" style="120" bestFit="1" customWidth="1"/>
    <col min="14855" max="14858" width="10.25" style="120" bestFit="1" customWidth="1"/>
    <col min="14859" max="14859" width="11.875" style="120" bestFit="1" customWidth="1"/>
    <col min="14860" max="14860" width="10.25" style="120" bestFit="1" customWidth="1"/>
    <col min="14861" max="14862" width="11.125" style="120" bestFit="1" customWidth="1"/>
    <col min="14863" max="14863" width="16.25" style="120" bestFit="1" customWidth="1"/>
    <col min="14864" max="14864" width="12" style="120" bestFit="1" customWidth="1"/>
    <col min="14865" max="14865" width="13.75" style="120" bestFit="1" customWidth="1"/>
    <col min="14866" max="15104" width="8.875" style="120"/>
    <col min="15105" max="15105" width="8.125" style="120" customWidth="1"/>
    <col min="15106" max="15106" width="28.25" style="120" bestFit="1" customWidth="1"/>
    <col min="15107" max="15107" width="17.375" style="120" bestFit="1" customWidth="1"/>
    <col min="15108" max="15108" width="12.375" style="120" bestFit="1" customWidth="1"/>
    <col min="15109" max="15109" width="11.25" style="120" bestFit="1" customWidth="1"/>
    <col min="15110" max="15110" width="18.25" style="120" bestFit="1" customWidth="1"/>
    <col min="15111" max="15114" width="10.25" style="120" bestFit="1" customWidth="1"/>
    <col min="15115" max="15115" width="11.875" style="120" bestFit="1" customWidth="1"/>
    <col min="15116" max="15116" width="10.25" style="120" bestFit="1" customWidth="1"/>
    <col min="15117" max="15118" width="11.125" style="120" bestFit="1" customWidth="1"/>
    <col min="15119" max="15119" width="16.25" style="120" bestFit="1" customWidth="1"/>
    <col min="15120" max="15120" width="12" style="120" bestFit="1" customWidth="1"/>
    <col min="15121" max="15121" width="13.75" style="120" bestFit="1" customWidth="1"/>
    <col min="15122" max="15360" width="8.875" style="120"/>
    <col min="15361" max="15361" width="8.125" style="120" customWidth="1"/>
    <col min="15362" max="15362" width="28.25" style="120" bestFit="1" customWidth="1"/>
    <col min="15363" max="15363" width="17.375" style="120" bestFit="1" customWidth="1"/>
    <col min="15364" max="15364" width="12.375" style="120" bestFit="1" customWidth="1"/>
    <col min="15365" max="15365" width="11.25" style="120" bestFit="1" customWidth="1"/>
    <col min="15366" max="15366" width="18.25" style="120" bestFit="1" customWidth="1"/>
    <col min="15367" max="15370" width="10.25" style="120" bestFit="1" customWidth="1"/>
    <col min="15371" max="15371" width="11.875" style="120" bestFit="1" customWidth="1"/>
    <col min="15372" max="15372" width="10.25" style="120" bestFit="1" customWidth="1"/>
    <col min="15373" max="15374" width="11.125" style="120" bestFit="1" customWidth="1"/>
    <col min="15375" max="15375" width="16.25" style="120" bestFit="1" customWidth="1"/>
    <col min="15376" max="15376" width="12" style="120" bestFit="1" customWidth="1"/>
    <col min="15377" max="15377" width="13.75" style="120" bestFit="1" customWidth="1"/>
    <col min="15378" max="15616" width="8.875" style="120"/>
    <col min="15617" max="15617" width="8.125" style="120" customWidth="1"/>
    <col min="15618" max="15618" width="28.25" style="120" bestFit="1" customWidth="1"/>
    <col min="15619" max="15619" width="17.375" style="120" bestFit="1" customWidth="1"/>
    <col min="15620" max="15620" width="12.375" style="120" bestFit="1" customWidth="1"/>
    <col min="15621" max="15621" width="11.25" style="120" bestFit="1" customWidth="1"/>
    <col min="15622" max="15622" width="18.25" style="120" bestFit="1" customWidth="1"/>
    <col min="15623" max="15626" width="10.25" style="120" bestFit="1" customWidth="1"/>
    <col min="15627" max="15627" width="11.875" style="120" bestFit="1" customWidth="1"/>
    <col min="15628" max="15628" width="10.25" style="120" bestFit="1" customWidth="1"/>
    <col min="15629" max="15630" width="11.125" style="120" bestFit="1" customWidth="1"/>
    <col min="15631" max="15631" width="16.25" style="120" bestFit="1" customWidth="1"/>
    <col min="15632" max="15632" width="12" style="120" bestFit="1" customWidth="1"/>
    <col min="15633" max="15633" width="13.75" style="120" bestFit="1" customWidth="1"/>
    <col min="15634" max="15872" width="8.875" style="120"/>
    <col min="15873" max="15873" width="8.125" style="120" customWidth="1"/>
    <col min="15874" max="15874" width="28.25" style="120" bestFit="1" customWidth="1"/>
    <col min="15875" max="15875" width="17.375" style="120" bestFit="1" customWidth="1"/>
    <col min="15876" max="15876" width="12.375" style="120" bestFit="1" customWidth="1"/>
    <col min="15877" max="15877" width="11.25" style="120" bestFit="1" customWidth="1"/>
    <col min="15878" max="15878" width="18.25" style="120" bestFit="1" customWidth="1"/>
    <col min="15879" max="15882" width="10.25" style="120" bestFit="1" customWidth="1"/>
    <col min="15883" max="15883" width="11.875" style="120" bestFit="1" customWidth="1"/>
    <col min="15884" max="15884" width="10.25" style="120" bestFit="1" customWidth="1"/>
    <col min="15885" max="15886" width="11.125" style="120" bestFit="1" customWidth="1"/>
    <col min="15887" max="15887" width="16.25" style="120" bestFit="1" customWidth="1"/>
    <col min="15888" max="15888" width="12" style="120" bestFit="1" customWidth="1"/>
    <col min="15889" max="15889" width="13.75" style="120" bestFit="1" customWidth="1"/>
    <col min="15890" max="16128" width="8.875" style="120"/>
    <col min="16129" max="16129" width="8.125" style="120" customWidth="1"/>
    <col min="16130" max="16130" width="28.25" style="120" bestFit="1" customWidth="1"/>
    <col min="16131" max="16131" width="17.375" style="120" bestFit="1" customWidth="1"/>
    <col min="16132" max="16132" width="12.375" style="120" bestFit="1" customWidth="1"/>
    <col min="16133" max="16133" width="11.25" style="120" bestFit="1" customWidth="1"/>
    <col min="16134" max="16134" width="18.25" style="120" bestFit="1" customWidth="1"/>
    <col min="16135" max="16138" width="10.25" style="120" bestFit="1" customWidth="1"/>
    <col min="16139" max="16139" width="11.875" style="120" bestFit="1" customWidth="1"/>
    <col min="16140" max="16140" width="10.25" style="120" bestFit="1" customWidth="1"/>
    <col min="16141" max="16142" width="11.125" style="120" bestFit="1" customWidth="1"/>
    <col min="16143" max="16143" width="16.25" style="120" bestFit="1" customWidth="1"/>
    <col min="16144" max="16144" width="12" style="120" bestFit="1" customWidth="1"/>
    <col min="16145" max="16145" width="13.75" style="120" bestFit="1" customWidth="1"/>
    <col min="16146" max="16384" width="8.875" style="120"/>
  </cols>
  <sheetData>
    <row r="1" spans="2:19" x14ac:dyDescent="0.35">
      <c r="B1" s="118"/>
      <c r="C1" s="118"/>
      <c r="D1" s="118"/>
      <c r="E1" s="118"/>
      <c r="F1" s="118"/>
      <c r="G1" s="118"/>
      <c r="H1" s="118"/>
      <c r="I1" s="118"/>
      <c r="J1" s="118"/>
      <c r="K1" s="118"/>
      <c r="L1" s="118"/>
      <c r="M1" s="118"/>
      <c r="N1" s="118"/>
      <c r="O1" s="118"/>
      <c r="P1" s="118"/>
    </row>
    <row r="2" spans="2:19" x14ac:dyDescent="0.35">
      <c r="B2" s="208" t="s">
        <v>93</v>
      </c>
      <c r="C2" s="208"/>
      <c r="D2" s="122"/>
      <c r="E2" s="118"/>
      <c r="F2" s="118"/>
      <c r="G2" s="118"/>
      <c r="H2" s="118"/>
      <c r="I2" s="118"/>
      <c r="J2" s="118"/>
      <c r="K2" s="118"/>
      <c r="L2" s="118"/>
      <c r="M2" s="118"/>
      <c r="N2" s="118"/>
      <c r="O2" s="118"/>
      <c r="P2" s="118"/>
    </row>
    <row r="3" spans="2:19" x14ac:dyDescent="0.35">
      <c r="B3" s="122"/>
      <c r="C3" s="122"/>
      <c r="D3" s="122"/>
      <c r="E3" s="118"/>
      <c r="F3" s="118"/>
      <c r="G3" s="118"/>
      <c r="H3" s="118"/>
      <c r="I3" s="118"/>
      <c r="J3" s="118"/>
      <c r="K3" s="118"/>
      <c r="L3" s="118"/>
      <c r="M3" s="118"/>
      <c r="N3" s="118"/>
      <c r="O3" s="118"/>
      <c r="P3" s="118"/>
    </row>
    <row r="4" spans="2:19" x14ac:dyDescent="0.35">
      <c r="B4" s="124" t="s">
        <v>7</v>
      </c>
      <c r="C4" s="124" t="s">
        <v>8</v>
      </c>
      <c r="D4" s="122"/>
      <c r="E4" s="118"/>
      <c r="F4" s="118"/>
      <c r="G4" s="118"/>
      <c r="H4" s="118"/>
      <c r="I4" s="118"/>
      <c r="J4" s="118"/>
      <c r="K4" s="118"/>
      <c r="L4" s="118"/>
      <c r="M4" s="118"/>
      <c r="N4" s="118"/>
      <c r="O4" s="118"/>
      <c r="P4" s="118"/>
    </row>
    <row r="5" spans="2:19" ht="18" customHeight="1" x14ac:dyDescent="0.35">
      <c r="B5" s="125" t="str">
        <f>IF(ISBLANK(Directions!C6), "Owner", Directions!C6)</f>
        <v>Owner</v>
      </c>
      <c r="C5" s="173" t="str">
        <f>IF(ISBLANK(Directions!D6), "Company 1", Directions!D6)</f>
        <v>Company 1</v>
      </c>
      <c r="D5" s="173"/>
      <c r="E5" s="118"/>
      <c r="F5" s="118"/>
      <c r="G5" s="118"/>
      <c r="H5" s="118"/>
      <c r="I5" s="118"/>
      <c r="J5" s="118"/>
      <c r="K5" s="118"/>
      <c r="L5" s="118"/>
      <c r="M5" s="118"/>
      <c r="N5" s="118"/>
      <c r="O5" s="118"/>
      <c r="P5" s="118"/>
    </row>
    <row r="6" spans="2:19" x14ac:dyDescent="0.35">
      <c r="B6" s="209"/>
      <c r="C6" s="118"/>
      <c r="D6" s="210"/>
      <c r="E6" s="209"/>
      <c r="F6" s="118"/>
      <c r="G6" s="118"/>
      <c r="H6" s="118"/>
      <c r="I6" s="118"/>
      <c r="J6" s="118"/>
      <c r="K6" s="118"/>
      <c r="L6" s="118"/>
      <c r="M6" s="209"/>
      <c r="N6" s="118"/>
      <c r="O6" s="118"/>
      <c r="P6" s="118"/>
    </row>
    <row r="7" spans="2:19" ht="16.5" thickBot="1" x14ac:dyDescent="0.4">
      <c r="B7" s="211" t="s">
        <v>94</v>
      </c>
      <c r="C7" s="211"/>
      <c r="D7" s="211"/>
      <c r="E7" s="211"/>
      <c r="F7" s="138"/>
      <c r="G7" s="119"/>
      <c r="H7" s="119"/>
      <c r="I7" s="118"/>
      <c r="J7" s="118"/>
      <c r="K7" s="118"/>
      <c r="L7" s="118"/>
      <c r="M7" s="118"/>
      <c r="N7" s="118"/>
      <c r="O7" s="118"/>
      <c r="P7" s="118"/>
    </row>
    <row r="8" spans="2:19" ht="45" customHeight="1" thickTop="1" x14ac:dyDescent="0.35">
      <c r="B8" s="212" t="s">
        <v>95</v>
      </c>
      <c r="C8" s="212" t="s">
        <v>96</v>
      </c>
      <c r="D8" s="213" t="s">
        <v>97</v>
      </c>
      <c r="E8" s="214" t="s">
        <v>98</v>
      </c>
      <c r="F8" s="215" t="s">
        <v>99</v>
      </c>
      <c r="G8" s="216"/>
      <c r="H8" s="217"/>
      <c r="I8" s="217"/>
      <c r="J8" s="217"/>
      <c r="K8" s="118"/>
      <c r="L8" s="118"/>
      <c r="M8" s="118"/>
      <c r="N8" s="118"/>
      <c r="O8" s="118"/>
      <c r="P8" s="118"/>
      <c r="R8" s="118"/>
    </row>
    <row r="9" spans="2:19" x14ac:dyDescent="0.35">
      <c r="B9" s="218"/>
      <c r="C9" s="218"/>
      <c r="D9" s="219"/>
      <c r="E9" s="220"/>
      <c r="F9" s="221">
        <f t="shared" ref="F9:F14" si="0">D9-E9</f>
        <v>0</v>
      </c>
      <c r="G9" s="222"/>
      <c r="H9" s="217"/>
      <c r="I9" s="217"/>
      <c r="J9" s="217"/>
      <c r="K9" s="118"/>
      <c r="L9" s="118"/>
      <c r="M9" s="118"/>
      <c r="N9" s="118"/>
      <c r="O9" s="118"/>
      <c r="P9" s="118"/>
      <c r="R9" s="118"/>
    </row>
    <row r="10" spans="2:19" x14ac:dyDescent="0.35">
      <c r="B10" s="218"/>
      <c r="C10" s="218"/>
      <c r="D10" s="219"/>
      <c r="E10" s="220"/>
      <c r="F10" s="221">
        <f t="shared" si="0"/>
        <v>0</v>
      </c>
      <c r="G10" s="222"/>
      <c r="H10" s="222"/>
      <c r="I10" s="118"/>
      <c r="J10" s="118"/>
      <c r="K10" s="118"/>
      <c r="L10" s="118"/>
      <c r="M10" s="118"/>
      <c r="N10" s="118"/>
      <c r="O10" s="118"/>
      <c r="P10" s="118"/>
      <c r="R10" s="118"/>
    </row>
    <row r="11" spans="2:19" x14ac:dyDescent="0.35">
      <c r="B11" s="218"/>
      <c r="C11" s="218"/>
      <c r="D11" s="219"/>
      <c r="E11" s="220"/>
      <c r="F11" s="221">
        <f t="shared" si="0"/>
        <v>0</v>
      </c>
      <c r="G11" s="222"/>
      <c r="H11" s="222"/>
      <c r="I11" s="118"/>
      <c r="J11" s="118"/>
      <c r="K11" s="118"/>
      <c r="L11" s="118"/>
      <c r="M11" s="118"/>
      <c r="N11" s="118"/>
      <c r="O11" s="118"/>
      <c r="P11" s="118"/>
      <c r="R11" s="118"/>
    </row>
    <row r="12" spans="2:19" x14ac:dyDescent="0.35">
      <c r="B12" s="218"/>
      <c r="C12" s="218"/>
      <c r="D12" s="219"/>
      <c r="E12" s="220"/>
      <c r="F12" s="221">
        <f t="shared" si="0"/>
        <v>0</v>
      </c>
      <c r="G12" s="222"/>
      <c r="H12" s="222"/>
      <c r="I12" s="118"/>
      <c r="J12" s="118"/>
      <c r="K12" s="118"/>
      <c r="L12" s="118"/>
      <c r="M12" s="118"/>
      <c r="N12" s="118"/>
      <c r="O12" s="118"/>
      <c r="P12" s="118"/>
      <c r="R12" s="118"/>
    </row>
    <row r="13" spans="2:19" x14ac:dyDescent="0.35">
      <c r="B13" s="218"/>
      <c r="C13" s="218"/>
      <c r="D13" s="219"/>
      <c r="E13" s="220"/>
      <c r="F13" s="221">
        <f t="shared" si="0"/>
        <v>0</v>
      </c>
      <c r="G13" s="222"/>
      <c r="H13" s="222"/>
      <c r="I13" s="118"/>
      <c r="J13" s="118"/>
      <c r="K13" s="118"/>
      <c r="L13" s="118"/>
      <c r="M13" s="118"/>
      <c r="N13" s="118"/>
      <c r="O13" s="118"/>
      <c r="P13" s="118"/>
      <c r="R13" s="118"/>
    </row>
    <row r="14" spans="2:19" x14ac:dyDescent="0.35">
      <c r="B14" s="218"/>
      <c r="C14" s="218"/>
      <c r="D14" s="219"/>
      <c r="E14" s="220"/>
      <c r="F14" s="221">
        <f t="shared" si="0"/>
        <v>0</v>
      </c>
      <c r="G14" s="222"/>
      <c r="H14" s="222"/>
      <c r="I14" s="118"/>
      <c r="J14" s="118"/>
      <c r="K14" s="118"/>
      <c r="L14" s="118"/>
      <c r="M14" s="118"/>
      <c r="N14" s="118"/>
      <c r="O14" s="118"/>
      <c r="P14" s="118"/>
      <c r="R14" s="118"/>
    </row>
    <row r="15" spans="2:19" s="118" customFormat="1" x14ac:dyDescent="0.35">
      <c r="B15" s="209"/>
      <c r="C15" s="223"/>
      <c r="D15" s="223"/>
      <c r="E15" s="223"/>
      <c r="F15" s="223"/>
      <c r="G15" s="223"/>
      <c r="H15" s="223"/>
      <c r="I15" s="223"/>
      <c r="J15" s="223"/>
      <c r="K15" s="223"/>
      <c r="L15" s="223"/>
      <c r="M15" s="223"/>
      <c r="N15" s="223"/>
    </row>
    <row r="16" spans="2:19" ht="32.25" thickBot="1" x14ac:dyDescent="0.4">
      <c r="B16" s="178" t="s">
        <v>95</v>
      </c>
      <c r="C16" s="178" t="str">
        <f>'2a-PayrollYear1'!F7</f>
        <v>Month 1</v>
      </c>
      <c r="D16" s="178" t="str">
        <f>'2a-PayrollYear1'!G7</f>
        <v>Month 2</v>
      </c>
      <c r="E16" s="178" t="str">
        <f>'2a-PayrollYear1'!H7</f>
        <v>Month 3</v>
      </c>
      <c r="F16" s="178" t="str">
        <f>'2a-PayrollYear1'!I7</f>
        <v>Month 4</v>
      </c>
      <c r="G16" s="178" t="str">
        <f>'2a-PayrollYear1'!J7</f>
        <v>Month 5</v>
      </c>
      <c r="H16" s="178" t="str">
        <f>'2a-PayrollYear1'!K7</f>
        <v>Month 6</v>
      </c>
      <c r="I16" s="178" t="str">
        <f>'2a-PayrollYear1'!L7</f>
        <v>Month 7</v>
      </c>
      <c r="J16" s="178" t="str">
        <f>'2a-PayrollYear1'!M7</f>
        <v>Month 8</v>
      </c>
      <c r="K16" s="178" t="str">
        <f>'2a-PayrollYear1'!N7</f>
        <v>Month 9</v>
      </c>
      <c r="L16" s="178" t="str">
        <f>'2a-PayrollYear1'!O7</f>
        <v>Month 10</v>
      </c>
      <c r="M16" s="178" t="str">
        <f>'2a-PayrollYear1'!P7</f>
        <v>Month 11</v>
      </c>
      <c r="N16" s="178" t="str">
        <f>'2a-PayrollYear1'!Q7</f>
        <v>Month 12</v>
      </c>
      <c r="O16" s="129" t="s">
        <v>68</v>
      </c>
      <c r="P16" s="129" t="s">
        <v>100</v>
      </c>
      <c r="Q16" s="129" t="s">
        <v>101</v>
      </c>
      <c r="R16" s="118"/>
      <c r="S16" s="118"/>
    </row>
    <row r="17" spans="2:19" s="118" customFormat="1" ht="16.5" thickTop="1" x14ac:dyDescent="0.35">
      <c r="B17" s="224" t="str">
        <f>IF(ISBLANK(B9), "Product 1", B9)</f>
        <v>Product 1</v>
      </c>
      <c r="C17" s="225"/>
      <c r="D17" s="225"/>
      <c r="E17" s="225"/>
      <c r="F17" s="225"/>
      <c r="G17" s="225"/>
      <c r="H17" s="225"/>
      <c r="I17" s="225"/>
      <c r="J17" s="225"/>
      <c r="K17" s="225"/>
      <c r="L17" s="225"/>
      <c r="M17" s="225"/>
      <c r="N17" s="225"/>
      <c r="O17" s="226"/>
      <c r="P17" s="131"/>
      <c r="Q17" s="226"/>
    </row>
    <row r="18" spans="2:19" s="118" customFormat="1" x14ac:dyDescent="0.35">
      <c r="B18" s="227" t="str">
        <f>IF(ISBLANK(C9), "Units Sold", Unit1&amp; " Sold")</f>
        <v>Units Sold</v>
      </c>
      <c r="C18" s="228"/>
      <c r="D18" s="228"/>
      <c r="E18" s="228"/>
      <c r="F18" s="228"/>
      <c r="G18" s="228"/>
      <c r="H18" s="228"/>
      <c r="I18" s="228"/>
      <c r="J18" s="228"/>
      <c r="K18" s="228"/>
      <c r="L18" s="228"/>
      <c r="M18" s="228"/>
      <c r="N18" s="228"/>
      <c r="O18" s="229">
        <f>SUM(C18:N18)</f>
        <v>0</v>
      </c>
      <c r="P18" s="138"/>
      <c r="Q18" s="230">
        <f>IF($O$52=0,0,O18/$O$52)</f>
        <v>0</v>
      </c>
    </row>
    <row r="19" spans="2:19" x14ac:dyDescent="0.35">
      <c r="B19" s="231" t="s">
        <v>102</v>
      </c>
      <c r="C19" s="232">
        <f>$D$9*C18</f>
        <v>0</v>
      </c>
      <c r="D19" s="232">
        <f t="shared" ref="D19:N19" si="1">$D$9*D18</f>
        <v>0</v>
      </c>
      <c r="E19" s="232">
        <f t="shared" si="1"/>
        <v>0</v>
      </c>
      <c r="F19" s="232">
        <f t="shared" si="1"/>
        <v>0</v>
      </c>
      <c r="G19" s="232">
        <f t="shared" si="1"/>
        <v>0</v>
      </c>
      <c r="H19" s="232">
        <f t="shared" si="1"/>
        <v>0</v>
      </c>
      <c r="I19" s="232">
        <f t="shared" si="1"/>
        <v>0</v>
      </c>
      <c r="J19" s="232">
        <f t="shared" si="1"/>
        <v>0</v>
      </c>
      <c r="K19" s="232">
        <f t="shared" si="1"/>
        <v>0</v>
      </c>
      <c r="L19" s="232">
        <f t="shared" si="1"/>
        <v>0</v>
      </c>
      <c r="M19" s="232">
        <f t="shared" si="1"/>
        <v>0</v>
      </c>
      <c r="N19" s="232">
        <f t="shared" si="1"/>
        <v>0</v>
      </c>
      <c r="O19" s="233">
        <f>SUM(C19:N19)</f>
        <v>0</v>
      </c>
      <c r="P19" s="234">
        <f>(P20+P21)</f>
        <v>0</v>
      </c>
      <c r="Q19" s="230">
        <f>IF($O$53=0,0,O19/$O$53)</f>
        <v>0</v>
      </c>
      <c r="R19" s="118"/>
      <c r="S19" s="118"/>
    </row>
    <row r="20" spans="2:19" x14ac:dyDescent="0.35">
      <c r="B20" s="231" t="s">
        <v>103</v>
      </c>
      <c r="C20" s="232">
        <f>$E$9*C18</f>
        <v>0</v>
      </c>
      <c r="D20" s="232">
        <f t="shared" ref="D20:N20" si="2">$E$9*D18</f>
        <v>0</v>
      </c>
      <c r="E20" s="232">
        <f t="shared" si="2"/>
        <v>0</v>
      </c>
      <c r="F20" s="232">
        <f t="shared" si="2"/>
        <v>0</v>
      </c>
      <c r="G20" s="232">
        <f t="shared" si="2"/>
        <v>0</v>
      </c>
      <c r="H20" s="232">
        <f t="shared" si="2"/>
        <v>0</v>
      </c>
      <c r="I20" s="232">
        <f t="shared" si="2"/>
        <v>0</v>
      </c>
      <c r="J20" s="232">
        <f t="shared" si="2"/>
        <v>0</v>
      </c>
      <c r="K20" s="232">
        <f t="shared" si="2"/>
        <v>0</v>
      </c>
      <c r="L20" s="232">
        <f t="shared" si="2"/>
        <v>0</v>
      </c>
      <c r="M20" s="232">
        <f t="shared" si="2"/>
        <v>0</v>
      </c>
      <c r="N20" s="232">
        <f t="shared" si="2"/>
        <v>0</v>
      </c>
      <c r="O20" s="233">
        <f>SUM(C20:N20)</f>
        <v>0</v>
      </c>
      <c r="P20" s="234">
        <f>IF(O19=0,0,O20/O19)</f>
        <v>0</v>
      </c>
      <c r="Q20" s="230">
        <f>IF($O$54=0,0,O20/$O$54)</f>
        <v>0</v>
      </c>
      <c r="R20" s="118"/>
      <c r="S20" s="118"/>
    </row>
    <row r="21" spans="2:19" s="119" customFormat="1" x14ac:dyDescent="0.35">
      <c r="B21" s="235" t="s">
        <v>104</v>
      </c>
      <c r="C21" s="236">
        <f>C19-C20</f>
        <v>0</v>
      </c>
      <c r="D21" s="236">
        <f t="shared" ref="D21:N21" si="3">D19-D20</f>
        <v>0</v>
      </c>
      <c r="E21" s="236">
        <f t="shared" si="3"/>
        <v>0</v>
      </c>
      <c r="F21" s="236">
        <f t="shared" si="3"/>
        <v>0</v>
      </c>
      <c r="G21" s="236">
        <f t="shared" si="3"/>
        <v>0</v>
      </c>
      <c r="H21" s="236">
        <f t="shared" si="3"/>
        <v>0</v>
      </c>
      <c r="I21" s="236">
        <f t="shared" si="3"/>
        <v>0</v>
      </c>
      <c r="J21" s="236">
        <f t="shared" si="3"/>
        <v>0</v>
      </c>
      <c r="K21" s="236">
        <f t="shared" si="3"/>
        <v>0</v>
      </c>
      <c r="L21" s="236">
        <f t="shared" si="3"/>
        <v>0</v>
      </c>
      <c r="M21" s="236">
        <f t="shared" si="3"/>
        <v>0</v>
      </c>
      <c r="N21" s="236">
        <f t="shared" si="3"/>
        <v>0</v>
      </c>
      <c r="O21" s="233">
        <f>SUM(C21:N21)</f>
        <v>0</v>
      </c>
      <c r="P21" s="234">
        <f>IF(O19=0,0,O21/O19)</f>
        <v>0</v>
      </c>
      <c r="Q21" s="230">
        <f>IF($O$55=0,0,O21/$O$55)</f>
        <v>0</v>
      </c>
    </row>
    <row r="22" spans="2:19" s="119" customFormat="1" x14ac:dyDescent="0.35">
      <c r="B22" s="237"/>
      <c r="C22" s="238"/>
      <c r="D22" s="239"/>
      <c r="E22" s="239"/>
      <c r="F22" s="239"/>
      <c r="G22" s="239"/>
      <c r="H22" s="239"/>
      <c r="I22" s="239"/>
      <c r="J22" s="239"/>
      <c r="K22" s="239"/>
      <c r="L22" s="239"/>
      <c r="M22" s="239"/>
      <c r="N22" s="239"/>
      <c r="O22" s="240"/>
      <c r="P22" s="138"/>
      <c r="Q22" s="241"/>
    </row>
    <row r="23" spans="2:19" s="118" customFormat="1" x14ac:dyDescent="0.35">
      <c r="B23" s="242" t="str">
        <f>IF(ISBLANK(B10), "Product 2", B10)</f>
        <v>Product 2</v>
      </c>
      <c r="C23" s="243"/>
      <c r="D23" s="243"/>
      <c r="E23" s="243"/>
      <c r="F23" s="243"/>
      <c r="G23" s="243"/>
      <c r="H23" s="243"/>
      <c r="I23" s="243"/>
      <c r="J23" s="243"/>
      <c r="K23" s="243"/>
      <c r="L23" s="243"/>
      <c r="M23" s="243"/>
      <c r="N23" s="243"/>
      <c r="O23" s="226"/>
      <c r="P23" s="138"/>
      <c r="Q23" s="241"/>
    </row>
    <row r="24" spans="2:19" s="118" customFormat="1" x14ac:dyDescent="0.35">
      <c r="B24" s="227" t="str">
        <f>IF(ISBLANK(C10), "Units Sold", Unit2&amp; " Sold")</f>
        <v>Units Sold</v>
      </c>
      <c r="C24" s="228"/>
      <c r="D24" s="228"/>
      <c r="E24" s="228"/>
      <c r="F24" s="228"/>
      <c r="G24" s="228"/>
      <c r="H24" s="228"/>
      <c r="I24" s="228"/>
      <c r="J24" s="228"/>
      <c r="K24" s="228"/>
      <c r="L24" s="228"/>
      <c r="M24" s="228"/>
      <c r="N24" s="228"/>
      <c r="O24" s="244">
        <f>SUM(C24:N24)</f>
        <v>0</v>
      </c>
      <c r="P24" s="138"/>
      <c r="Q24" s="230">
        <f>IF($O$52=0,0,O24/$O$52)</f>
        <v>0</v>
      </c>
    </row>
    <row r="25" spans="2:19" x14ac:dyDescent="0.35">
      <c r="B25" s="245" t="s">
        <v>102</v>
      </c>
      <c r="C25" s="232">
        <f>$D$10*C24</f>
        <v>0</v>
      </c>
      <c r="D25" s="232">
        <f t="shared" ref="D25:N25" si="4">$D$10*D24</f>
        <v>0</v>
      </c>
      <c r="E25" s="232">
        <f t="shared" si="4"/>
        <v>0</v>
      </c>
      <c r="F25" s="232">
        <f t="shared" si="4"/>
        <v>0</v>
      </c>
      <c r="G25" s="232">
        <f t="shared" si="4"/>
        <v>0</v>
      </c>
      <c r="H25" s="232">
        <f t="shared" si="4"/>
        <v>0</v>
      </c>
      <c r="I25" s="232">
        <f t="shared" si="4"/>
        <v>0</v>
      </c>
      <c r="J25" s="232">
        <f t="shared" si="4"/>
        <v>0</v>
      </c>
      <c r="K25" s="232">
        <f t="shared" si="4"/>
        <v>0</v>
      </c>
      <c r="L25" s="232">
        <f t="shared" si="4"/>
        <v>0</v>
      </c>
      <c r="M25" s="232">
        <f t="shared" si="4"/>
        <v>0</v>
      </c>
      <c r="N25" s="232">
        <f t="shared" si="4"/>
        <v>0</v>
      </c>
      <c r="O25" s="246">
        <f>SUM(C25:N25)</f>
        <v>0</v>
      </c>
      <c r="P25" s="234">
        <f>(P26+P27)</f>
        <v>0</v>
      </c>
      <c r="Q25" s="230">
        <f>IF($O$53=0,0,O25/$O$53)</f>
        <v>0</v>
      </c>
      <c r="R25" s="118"/>
      <c r="S25" s="118"/>
    </row>
    <row r="26" spans="2:19" x14ac:dyDescent="0.35">
      <c r="B26" s="245" t="s">
        <v>103</v>
      </c>
      <c r="C26" s="232">
        <f>$E$10*C24</f>
        <v>0</v>
      </c>
      <c r="D26" s="232">
        <f t="shared" ref="D26:N26" si="5">$E$10*D24</f>
        <v>0</v>
      </c>
      <c r="E26" s="232">
        <f t="shared" si="5"/>
        <v>0</v>
      </c>
      <c r="F26" s="232">
        <f t="shared" si="5"/>
        <v>0</v>
      </c>
      <c r="G26" s="232">
        <f t="shared" si="5"/>
        <v>0</v>
      </c>
      <c r="H26" s="232">
        <f t="shared" si="5"/>
        <v>0</v>
      </c>
      <c r="I26" s="232">
        <f t="shared" si="5"/>
        <v>0</v>
      </c>
      <c r="J26" s="232">
        <f t="shared" si="5"/>
        <v>0</v>
      </c>
      <c r="K26" s="232">
        <f t="shared" si="5"/>
        <v>0</v>
      </c>
      <c r="L26" s="232">
        <f t="shared" si="5"/>
        <v>0</v>
      </c>
      <c r="M26" s="232">
        <f t="shared" si="5"/>
        <v>0</v>
      </c>
      <c r="N26" s="232">
        <f t="shared" si="5"/>
        <v>0</v>
      </c>
      <c r="O26" s="246">
        <f>SUM(C26:N26)</f>
        <v>0</v>
      </c>
      <c r="P26" s="234">
        <f>IF(O25=0,0,O26/O25)</f>
        <v>0</v>
      </c>
      <c r="Q26" s="230">
        <f>IF($O$54=0,0,O26/$O$54)</f>
        <v>0</v>
      </c>
      <c r="R26" s="118"/>
      <c r="S26" s="118"/>
    </row>
    <row r="27" spans="2:19" s="119" customFormat="1" x14ac:dyDescent="0.35">
      <c r="B27" s="235" t="s">
        <v>105</v>
      </c>
      <c r="C27" s="236">
        <f>C25-C26</f>
        <v>0</v>
      </c>
      <c r="D27" s="236">
        <f t="shared" ref="D27:N27" si="6">D25-D26</f>
        <v>0</v>
      </c>
      <c r="E27" s="236">
        <f t="shared" si="6"/>
        <v>0</v>
      </c>
      <c r="F27" s="236">
        <f t="shared" si="6"/>
        <v>0</v>
      </c>
      <c r="G27" s="236">
        <f t="shared" si="6"/>
        <v>0</v>
      </c>
      <c r="H27" s="236">
        <f t="shared" si="6"/>
        <v>0</v>
      </c>
      <c r="I27" s="236">
        <f t="shared" si="6"/>
        <v>0</v>
      </c>
      <c r="J27" s="236">
        <f t="shared" si="6"/>
        <v>0</v>
      </c>
      <c r="K27" s="236">
        <f t="shared" si="6"/>
        <v>0</v>
      </c>
      <c r="L27" s="236">
        <f t="shared" si="6"/>
        <v>0</v>
      </c>
      <c r="M27" s="236">
        <f t="shared" si="6"/>
        <v>0</v>
      </c>
      <c r="N27" s="236">
        <f t="shared" si="6"/>
        <v>0</v>
      </c>
      <c r="O27" s="246">
        <f>SUM(C27:N27)</f>
        <v>0</v>
      </c>
      <c r="P27" s="234">
        <f>IF(O25=0,0,O27/O25)</f>
        <v>0</v>
      </c>
      <c r="Q27" s="230">
        <f>IF($O$55=0,0,O27/$O$55)</f>
        <v>0</v>
      </c>
    </row>
    <row r="28" spans="2:19" s="119" customFormat="1" x14ac:dyDescent="0.35">
      <c r="B28" s="237"/>
      <c r="C28" s="239"/>
      <c r="D28" s="239"/>
      <c r="E28" s="239"/>
      <c r="F28" s="239"/>
      <c r="G28" s="239"/>
      <c r="H28" s="239"/>
      <c r="I28" s="239"/>
      <c r="J28" s="239"/>
      <c r="K28" s="239"/>
      <c r="L28" s="239"/>
      <c r="M28" s="239"/>
      <c r="N28" s="239"/>
      <c r="O28" s="240"/>
      <c r="P28" s="138"/>
      <c r="Q28" s="241"/>
    </row>
    <row r="29" spans="2:19" x14ac:dyDescent="0.35">
      <c r="B29" s="242" t="str">
        <f>IF(ISBLANK(B11), "Product 3", B11)</f>
        <v>Product 3</v>
      </c>
      <c r="C29" s="247"/>
      <c r="D29" s="247"/>
      <c r="E29" s="247"/>
      <c r="F29" s="248"/>
      <c r="G29" s="248"/>
      <c r="H29" s="248"/>
      <c r="I29" s="248"/>
      <c r="J29" s="248"/>
      <c r="K29" s="248"/>
      <c r="L29" s="248"/>
      <c r="M29" s="248"/>
      <c r="N29" s="248"/>
      <c r="O29" s="226"/>
      <c r="P29" s="138"/>
      <c r="Q29" s="241"/>
      <c r="R29" s="118"/>
      <c r="S29" s="118"/>
    </row>
    <row r="30" spans="2:19" s="118" customFormat="1" x14ac:dyDescent="0.35">
      <c r="B30" s="227" t="str">
        <f>IF(ISBLANK(C11), "Units Sold", Unit3&amp; " Sold")</f>
        <v>Units Sold</v>
      </c>
      <c r="C30" s="228"/>
      <c r="D30" s="228"/>
      <c r="E30" s="228"/>
      <c r="F30" s="228"/>
      <c r="G30" s="228"/>
      <c r="H30" s="228"/>
      <c r="I30" s="228"/>
      <c r="J30" s="228"/>
      <c r="K30" s="228"/>
      <c r="L30" s="228"/>
      <c r="M30" s="228"/>
      <c r="N30" s="228"/>
      <c r="O30" s="244">
        <f>SUM(C30:N30)</f>
        <v>0</v>
      </c>
      <c r="P30" s="138"/>
      <c r="Q30" s="230">
        <f>IF($O$52=0,0,O30/$O$52)</f>
        <v>0</v>
      </c>
    </row>
    <row r="31" spans="2:19" x14ac:dyDescent="0.35">
      <c r="B31" s="245" t="s">
        <v>102</v>
      </c>
      <c r="C31" s="249">
        <f>$D$11*C30</f>
        <v>0</v>
      </c>
      <c r="D31" s="249">
        <f t="shared" ref="D31:N31" si="7">$D$11*D30</f>
        <v>0</v>
      </c>
      <c r="E31" s="249">
        <f t="shared" si="7"/>
        <v>0</v>
      </c>
      <c r="F31" s="249">
        <f t="shared" si="7"/>
        <v>0</v>
      </c>
      <c r="G31" s="249">
        <f t="shared" si="7"/>
        <v>0</v>
      </c>
      <c r="H31" s="249">
        <f t="shared" si="7"/>
        <v>0</v>
      </c>
      <c r="I31" s="249">
        <f t="shared" si="7"/>
        <v>0</v>
      </c>
      <c r="J31" s="249">
        <f t="shared" si="7"/>
        <v>0</v>
      </c>
      <c r="K31" s="249">
        <f t="shared" si="7"/>
        <v>0</v>
      </c>
      <c r="L31" s="249">
        <f t="shared" si="7"/>
        <v>0</v>
      </c>
      <c r="M31" s="249">
        <f t="shared" si="7"/>
        <v>0</v>
      </c>
      <c r="N31" s="249">
        <f t="shared" si="7"/>
        <v>0</v>
      </c>
      <c r="O31" s="246">
        <f>SUM(C31:N31)</f>
        <v>0</v>
      </c>
      <c r="P31" s="234">
        <f>(P32+P33)</f>
        <v>0</v>
      </c>
      <c r="Q31" s="230">
        <f>IF($O$53=0,0,O31/$O$53)</f>
        <v>0</v>
      </c>
      <c r="R31" s="118"/>
      <c r="S31" s="118"/>
    </row>
    <row r="32" spans="2:19" x14ac:dyDescent="0.35">
      <c r="B32" s="245" t="s">
        <v>103</v>
      </c>
      <c r="C32" s="249">
        <f>$E$11*C30</f>
        <v>0</v>
      </c>
      <c r="D32" s="249">
        <f t="shared" ref="D32:N32" si="8">$E$11*D30</f>
        <v>0</v>
      </c>
      <c r="E32" s="249">
        <f t="shared" si="8"/>
        <v>0</v>
      </c>
      <c r="F32" s="249">
        <f t="shared" si="8"/>
        <v>0</v>
      </c>
      <c r="G32" s="249">
        <f t="shared" si="8"/>
        <v>0</v>
      </c>
      <c r="H32" s="249">
        <f t="shared" si="8"/>
        <v>0</v>
      </c>
      <c r="I32" s="249">
        <f t="shared" si="8"/>
        <v>0</v>
      </c>
      <c r="J32" s="249">
        <f t="shared" si="8"/>
        <v>0</v>
      </c>
      <c r="K32" s="249">
        <f t="shared" si="8"/>
        <v>0</v>
      </c>
      <c r="L32" s="249">
        <f t="shared" si="8"/>
        <v>0</v>
      </c>
      <c r="M32" s="249">
        <f t="shared" si="8"/>
        <v>0</v>
      </c>
      <c r="N32" s="249">
        <f t="shared" si="8"/>
        <v>0</v>
      </c>
      <c r="O32" s="246">
        <f>SUM(C32:N32)</f>
        <v>0</v>
      </c>
      <c r="P32" s="234">
        <f>IF(O31=0,0,O32/O31)</f>
        <v>0</v>
      </c>
      <c r="Q32" s="230">
        <f>IF($O$54=0,0,O32/$O$54)</f>
        <v>0</v>
      </c>
      <c r="R32" s="118"/>
      <c r="S32" s="118"/>
    </row>
    <row r="33" spans="2:19" x14ac:dyDescent="0.35">
      <c r="B33" s="235" t="s">
        <v>105</v>
      </c>
      <c r="C33" s="236">
        <f>C31-C32</f>
        <v>0</v>
      </c>
      <c r="D33" s="236">
        <f t="shared" ref="D33:N33" si="9">D31-D32</f>
        <v>0</v>
      </c>
      <c r="E33" s="236">
        <f t="shared" si="9"/>
        <v>0</v>
      </c>
      <c r="F33" s="236">
        <f t="shared" si="9"/>
        <v>0</v>
      </c>
      <c r="G33" s="236">
        <f t="shared" si="9"/>
        <v>0</v>
      </c>
      <c r="H33" s="236">
        <f t="shared" si="9"/>
        <v>0</v>
      </c>
      <c r="I33" s="236">
        <f t="shared" si="9"/>
        <v>0</v>
      </c>
      <c r="J33" s="236">
        <f t="shared" si="9"/>
        <v>0</v>
      </c>
      <c r="K33" s="236">
        <f t="shared" si="9"/>
        <v>0</v>
      </c>
      <c r="L33" s="236">
        <f t="shared" si="9"/>
        <v>0</v>
      </c>
      <c r="M33" s="236">
        <f t="shared" si="9"/>
        <v>0</v>
      </c>
      <c r="N33" s="236">
        <f t="shared" si="9"/>
        <v>0</v>
      </c>
      <c r="O33" s="246">
        <f>SUM(C33:N33)</f>
        <v>0</v>
      </c>
      <c r="P33" s="234">
        <f>IF(O31=0,0,O33/O31)</f>
        <v>0</v>
      </c>
      <c r="Q33" s="230">
        <f>IF($O$55=0,0,O33/$O$55)</f>
        <v>0</v>
      </c>
      <c r="R33" s="118"/>
      <c r="S33" s="118"/>
    </row>
    <row r="34" spans="2:19" s="119" customFormat="1" x14ac:dyDescent="0.35">
      <c r="B34" s="250"/>
      <c r="C34" s="239"/>
      <c r="D34" s="239"/>
      <c r="E34" s="239"/>
      <c r="F34" s="239"/>
      <c r="G34" s="239"/>
      <c r="H34" s="239"/>
      <c r="I34" s="239"/>
      <c r="J34" s="239"/>
      <c r="K34" s="239"/>
      <c r="L34" s="239"/>
      <c r="M34" s="239"/>
      <c r="N34" s="239"/>
      <c r="O34" s="240"/>
      <c r="P34" s="138"/>
      <c r="Q34" s="241"/>
    </row>
    <row r="35" spans="2:19" s="118" customFormat="1" x14ac:dyDescent="0.35">
      <c r="B35" s="242" t="str">
        <f>IF(ISBLANK(B12), "Product 4", B12)</f>
        <v>Product 4</v>
      </c>
      <c r="C35" s="243"/>
      <c r="D35" s="243"/>
      <c r="E35" s="243"/>
      <c r="F35" s="243"/>
      <c r="G35" s="243"/>
      <c r="H35" s="243"/>
      <c r="I35" s="243"/>
      <c r="J35" s="243"/>
      <c r="K35" s="243"/>
      <c r="L35" s="243"/>
      <c r="M35" s="243"/>
      <c r="N35" s="243"/>
      <c r="O35" s="226"/>
      <c r="P35" s="138"/>
      <c r="Q35" s="241"/>
    </row>
    <row r="36" spans="2:19" x14ac:dyDescent="0.35">
      <c r="B36" s="227" t="str">
        <f>IF(ISBLANK(C12), "Units Sold", Unit4&amp; " Sold")</f>
        <v>Units Sold</v>
      </c>
      <c r="C36" s="251"/>
      <c r="D36" s="251"/>
      <c r="E36" s="251"/>
      <c r="F36" s="251"/>
      <c r="G36" s="251"/>
      <c r="H36" s="251"/>
      <c r="I36" s="251"/>
      <c r="J36" s="251"/>
      <c r="K36" s="251"/>
      <c r="L36" s="251"/>
      <c r="M36" s="251"/>
      <c r="N36" s="251"/>
      <c r="O36" s="244">
        <f>SUM(C36:N36)</f>
        <v>0</v>
      </c>
      <c r="P36" s="138"/>
      <c r="Q36" s="230">
        <f>IF($O$52=0,0,O36/$O$52)</f>
        <v>0</v>
      </c>
      <c r="R36" s="118"/>
      <c r="S36" s="118"/>
    </row>
    <row r="37" spans="2:19" x14ac:dyDescent="0.35">
      <c r="B37" s="245" t="s">
        <v>102</v>
      </c>
      <c r="C37" s="249">
        <f>$D$12*C36</f>
        <v>0</v>
      </c>
      <c r="D37" s="249">
        <f t="shared" ref="D37:N37" si="10">$D$12*D36</f>
        <v>0</v>
      </c>
      <c r="E37" s="249">
        <f t="shared" si="10"/>
        <v>0</v>
      </c>
      <c r="F37" s="249">
        <f t="shared" si="10"/>
        <v>0</v>
      </c>
      <c r="G37" s="249">
        <f t="shared" si="10"/>
        <v>0</v>
      </c>
      <c r="H37" s="249">
        <f t="shared" si="10"/>
        <v>0</v>
      </c>
      <c r="I37" s="249">
        <f t="shared" si="10"/>
        <v>0</v>
      </c>
      <c r="J37" s="249">
        <f t="shared" si="10"/>
        <v>0</v>
      </c>
      <c r="K37" s="249">
        <f t="shared" si="10"/>
        <v>0</v>
      </c>
      <c r="L37" s="249">
        <f t="shared" si="10"/>
        <v>0</v>
      </c>
      <c r="M37" s="249">
        <f t="shared" si="10"/>
        <v>0</v>
      </c>
      <c r="N37" s="249">
        <f t="shared" si="10"/>
        <v>0</v>
      </c>
      <c r="O37" s="233">
        <f>SUM(C37:N37)</f>
        <v>0</v>
      </c>
      <c r="P37" s="234">
        <f>(P38+P39)</f>
        <v>0</v>
      </c>
      <c r="Q37" s="230">
        <f>IF($O$53=0,0,O37/$O$53)</f>
        <v>0</v>
      </c>
      <c r="R37" s="118"/>
      <c r="S37" s="118"/>
    </row>
    <row r="38" spans="2:19" x14ac:dyDescent="0.35">
      <c r="B38" s="245" t="s">
        <v>103</v>
      </c>
      <c r="C38" s="249">
        <f>$E$12*C36</f>
        <v>0</v>
      </c>
      <c r="D38" s="249">
        <f t="shared" ref="D38:N38" si="11">$E$12*D36</f>
        <v>0</v>
      </c>
      <c r="E38" s="249">
        <f t="shared" si="11"/>
        <v>0</v>
      </c>
      <c r="F38" s="249">
        <f t="shared" si="11"/>
        <v>0</v>
      </c>
      <c r="G38" s="249">
        <f t="shared" si="11"/>
        <v>0</v>
      </c>
      <c r="H38" s="249">
        <f t="shared" si="11"/>
        <v>0</v>
      </c>
      <c r="I38" s="249">
        <f t="shared" si="11"/>
        <v>0</v>
      </c>
      <c r="J38" s="249">
        <f t="shared" si="11"/>
        <v>0</v>
      </c>
      <c r="K38" s="249">
        <f t="shared" si="11"/>
        <v>0</v>
      </c>
      <c r="L38" s="249">
        <f t="shared" si="11"/>
        <v>0</v>
      </c>
      <c r="M38" s="249">
        <f t="shared" si="11"/>
        <v>0</v>
      </c>
      <c r="N38" s="249">
        <f t="shared" si="11"/>
        <v>0</v>
      </c>
      <c r="O38" s="233">
        <f>SUM(C38:N38)</f>
        <v>0</v>
      </c>
      <c r="P38" s="234">
        <f>IF(O37=0,0,O38/O37)</f>
        <v>0</v>
      </c>
      <c r="Q38" s="230">
        <f>IF($O$54=0,0,O38/$O$54)</f>
        <v>0</v>
      </c>
      <c r="R38" s="118"/>
      <c r="S38" s="118"/>
    </row>
    <row r="39" spans="2:19" s="119" customFormat="1" x14ac:dyDescent="0.35">
      <c r="B39" s="235" t="s">
        <v>105</v>
      </c>
      <c r="C39" s="236">
        <f>C37-C38</f>
        <v>0</v>
      </c>
      <c r="D39" s="236">
        <f t="shared" ref="D39:N39" si="12">D37-D38</f>
        <v>0</v>
      </c>
      <c r="E39" s="236">
        <f t="shared" si="12"/>
        <v>0</v>
      </c>
      <c r="F39" s="236">
        <f t="shared" si="12"/>
        <v>0</v>
      </c>
      <c r="G39" s="236">
        <f t="shared" si="12"/>
        <v>0</v>
      </c>
      <c r="H39" s="236">
        <f t="shared" si="12"/>
        <v>0</v>
      </c>
      <c r="I39" s="236">
        <f t="shared" si="12"/>
        <v>0</v>
      </c>
      <c r="J39" s="236">
        <f t="shared" si="12"/>
        <v>0</v>
      </c>
      <c r="K39" s="236">
        <f t="shared" si="12"/>
        <v>0</v>
      </c>
      <c r="L39" s="236">
        <f t="shared" si="12"/>
        <v>0</v>
      </c>
      <c r="M39" s="236">
        <f t="shared" si="12"/>
        <v>0</v>
      </c>
      <c r="N39" s="236">
        <f t="shared" si="12"/>
        <v>0</v>
      </c>
      <c r="O39" s="233">
        <f>SUM(C39:N39)</f>
        <v>0</v>
      </c>
      <c r="P39" s="234">
        <f>IF(O37=0,0,O39/O37)</f>
        <v>0</v>
      </c>
      <c r="Q39" s="230">
        <f>IF($O$55=0,0,O39/$O$55)</f>
        <v>0</v>
      </c>
    </row>
    <row r="40" spans="2:19" s="119" customFormat="1" x14ac:dyDescent="0.35">
      <c r="B40" s="250"/>
      <c r="C40" s="239"/>
      <c r="D40" s="239"/>
      <c r="E40" s="239"/>
      <c r="F40" s="252"/>
      <c r="G40" s="252"/>
      <c r="H40" s="252"/>
      <c r="I40" s="252"/>
      <c r="J40" s="252"/>
      <c r="K40" s="252"/>
      <c r="L40" s="252"/>
      <c r="M40" s="252"/>
      <c r="N40" s="252"/>
      <c r="O40" s="253"/>
      <c r="P40" s="138"/>
      <c r="Q40" s="241"/>
    </row>
    <row r="41" spans="2:19" x14ac:dyDescent="0.35">
      <c r="B41" s="242" t="str">
        <f>IF(ISBLANK(B13), "Product 5", B13)</f>
        <v>Product 5</v>
      </c>
      <c r="C41" s="247"/>
      <c r="D41" s="247"/>
      <c r="E41" s="247"/>
      <c r="F41" s="248"/>
      <c r="G41" s="248"/>
      <c r="H41" s="248"/>
      <c r="I41" s="248"/>
      <c r="J41" s="248"/>
      <c r="K41" s="248"/>
      <c r="L41" s="248"/>
      <c r="M41" s="248"/>
      <c r="N41" s="248"/>
      <c r="O41" s="226"/>
      <c r="P41" s="138"/>
      <c r="Q41" s="241"/>
      <c r="R41" s="118"/>
      <c r="S41" s="118"/>
    </row>
    <row r="42" spans="2:19" s="118" customFormat="1" x14ac:dyDescent="0.35">
      <c r="B42" s="227" t="str">
        <f>IF(ISBLANK(C13), "Units Sold", Unit5&amp; " Sold")</f>
        <v>Units Sold</v>
      </c>
      <c r="C42" s="228"/>
      <c r="D42" s="228"/>
      <c r="E42" s="228"/>
      <c r="F42" s="228"/>
      <c r="G42" s="228"/>
      <c r="H42" s="228"/>
      <c r="I42" s="228"/>
      <c r="J42" s="228"/>
      <c r="K42" s="228"/>
      <c r="L42" s="228"/>
      <c r="M42" s="228"/>
      <c r="N42" s="228"/>
      <c r="O42" s="229">
        <f>SUM(C42:N42)</f>
        <v>0</v>
      </c>
      <c r="P42" s="138"/>
      <c r="Q42" s="230">
        <f>IF($O$52=0,0,O42/$O$52)</f>
        <v>0</v>
      </c>
    </row>
    <row r="43" spans="2:19" x14ac:dyDescent="0.35">
      <c r="B43" s="245" t="s">
        <v>102</v>
      </c>
      <c r="C43" s="249">
        <f>$D$13*C42</f>
        <v>0</v>
      </c>
      <c r="D43" s="249">
        <f t="shared" ref="D43:N43" si="13">$D$13*D42</f>
        <v>0</v>
      </c>
      <c r="E43" s="249">
        <f t="shared" si="13"/>
        <v>0</v>
      </c>
      <c r="F43" s="249">
        <f t="shared" si="13"/>
        <v>0</v>
      </c>
      <c r="G43" s="249">
        <f t="shared" si="13"/>
        <v>0</v>
      </c>
      <c r="H43" s="249">
        <f t="shared" si="13"/>
        <v>0</v>
      </c>
      <c r="I43" s="249">
        <f t="shared" si="13"/>
        <v>0</v>
      </c>
      <c r="J43" s="249">
        <f t="shared" si="13"/>
        <v>0</v>
      </c>
      <c r="K43" s="249">
        <f t="shared" si="13"/>
        <v>0</v>
      </c>
      <c r="L43" s="249">
        <f t="shared" si="13"/>
        <v>0</v>
      </c>
      <c r="M43" s="249">
        <f t="shared" si="13"/>
        <v>0</v>
      </c>
      <c r="N43" s="249">
        <f t="shared" si="13"/>
        <v>0</v>
      </c>
      <c r="O43" s="233">
        <f>SUM(C43:N43)</f>
        <v>0</v>
      </c>
      <c r="P43" s="234">
        <f>(P44+P45)</f>
        <v>0</v>
      </c>
      <c r="Q43" s="230">
        <f>IF($O$53=0,0,O43/$O$53)</f>
        <v>0</v>
      </c>
      <c r="R43" s="118"/>
      <c r="S43" s="118"/>
    </row>
    <row r="44" spans="2:19" x14ac:dyDescent="0.35">
      <c r="B44" s="245" t="s">
        <v>103</v>
      </c>
      <c r="C44" s="249">
        <f>$E$13*C42</f>
        <v>0</v>
      </c>
      <c r="D44" s="249">
        <f t="shared" ref="D44:N44" si="14">$E$13*D42</f>
        <v>0</v>
      </c>
      <c r="E44" s="249">
        <f t="shared" si="14"/>
        <v>0</v>
      </c>
      <c r="F44" s="249">
        <f t="shared" si="14"/>
        <v>0</v>
      </c>
      <c r="G44" s="249">
        <f t="shared" si="14"/>
        <v>0</v>
      </c>
      <c r="H44" s="249">
        <f t="shared" si="14"/>
        <v>0</v>
      </c>
      <c r="I44" s="249">
        <f t="shared" si="14"/>
        <v>0</v>
      </c>
      <c r="J44" s="249">
        <f t="shared" si="14"/>
        <v>0</v>
      </c>
      <c r="K44" s="249">
        <f t="shared" si="14"/>
        <v>0</v>
      </c>
      <c r="L44" s="249">
        <f t="shared" si="14"/>
        <v>0</v>
      </c>
      <c r="M44" s="249">
        <f t="shared" si="14"/>
        <v>0</v>
      </c>
      <c r="N44" s="249">
        <f t="shared" si="14"/>
        <v>0</v>
      </c>
      <c r="O44" s="233">
        <f>SUM(C44:N44)</f>
        <v>0</v>
      </c>
      <c r="P44" s="234">
        <f>IF(O43=0,0,O44/O43)</f>
        <v>0</v>
      </c>
      <c r="Q44" s="230">
        <f>IF($O$54=0,0,O44/$O$54)</f>
        <v>0</v>
      </c>
      <c r="R44" s="118"/>
      <c r="S44" s="118"/>
    </row>
    <row r="45" spans="2:19" x14ac:dyDescent="0.35">
      <c r="B45" s="235" t="s">
        <v>105</v>
      </c>
      <c r="C45" s="254">
        <f>C43-C44</f>
        <v>0</v>
      </c>
      <c r="D45" s="254">
        <f t="shared" ref="D45:N45" si="15">D43-D44</f>
        <v>0</v>
      </c>
      <c r="E45" s="254">
        <f t="shared" si="15"/>
        <v>0</v>
      </c>
      <c r="F45" s="254">
        <f t="shared" si="15"/>
        <v>0</v>
      </c>
      <c r="G45" s="254">
        <f t="shared" si="15"/>
        <v>0</v>
      </c>
      <c r="H45" s="254">
        <f t="shared" si="15"/>
        <v>0</v>
      </c>
      <c r="I45" s="254">
        <f t="shared" si="15"/>
        <v>0</v>
      </c>
      <c r="J45" s="254">
        <f t="shared" si="15"/>
        <v>0</v>
      </c>
      <c r="K45" s="254">
        <f t="shared" si="15"/>
        <v>0</v>
      </c>
      <c r="L45" s="254">
        <f t="shared" si="15"/>
        <v>0</v>
      </c>
      <c r="M45" s="254">
        <f t="shared" si="15"/>
        <v>0</v>
      </c>
      <c r="N45" s="254">
        <f t="shared" si="15"/>
        <v>0</v>
      </c>
      <c r="O45" s="233">
        <f>SUM(C45:N45)</f>
        <v>0</v>
      </c>
      <c r="P45" s="234">
        <f>IF(O43=0,0,O45/O43)</f>
        <v>0</v>
      </c>
      <c r="Q45" s="230">
        <f>IF($O$55=0,0,O45/$O$55)</f>
        <v>0</v>
      </c>
      <c r="R45" s="118"/>
      <c r="S45" s="118"/>
    </row>
    <row r="46" spans="2:19" s="119" customFormat="1" x14ac:dyDescent="0.35">
      <c r="B46" s="250"/>
      <c r="C46" s="255"/>
      <c r="D46" s="255"/>
      <c r="E46" s="255"/>
      <c r="F46" s="255"/>
      <c r="G46" s="255"/>
      <c r="H46" s="255"/>
      <c r="I46" s="255"/>
      <c r="J46" s="255"/>
      <c r="K46" s="255"/>
      <c r="L46" s="255"/>
      <c r="M46" s="255"/>
      <c r="N46" s="255"/>
      <c r="O46" s="253"/>
      <c r="P46" s="138"/>
      <c r="Q46" s="241"/>
    </row>
    <row r="47" spans="2:19" s="118" customFormat="1" x14ac:dyDescent="0.35">
      <c r="B47" s="242" t="str">
        <f>IF(ISBLANK(B14), "Product 6", B14)</f>
        <v>Product 6</v>
      </c>
      <c r="C47" s="256"/>
      <c r="D47" s="256"/>
      <c r="E47" s="256"/>
      <c r="F47" s="256"/>
      <c r="G47" s="256"/>
      <c r="H47" s="256"/>
      <c r="I47" s="256"/>
      <c r="J47" s="256"/>
      <c r="K47" s="256"/>
      <c r="L47" s="256"/>
      <c r="M47" s="256"/>
      <c r="N47" s="256"/>
      <c r="O47" s="226"/>
      <c r="P47" s="138"/>
      <c r="Q47" s="241"/>
    </row>
    <row r="48" spans="2:19" x14ac:dyDescent="0.35">
      <c r="B48" s="227" t="str">
        <f>IF(ISBLANK(C14), "Units Sold", Unit6&amp; " Sold")</f>
        <v>Units Sold</v>
      </c>
      <c r="C48" s="251"/>
      <c r="D48" s="251"/>
      <c r="E48" s="251"/>
      <c r="F48" s="251"/>
      <c r="G48" s="251"/>
      <c r="H48" s="251"/>
      <c r="I48" s="251"/>
      <c r="J48" s="251"/>
      <c r="K48" s="251"/>
      <c r="L48" s="251"/>
      <c r="M48" s="251"/>
      <c r="N48" s="251"/>
      <c r="O48" s="229">
        <f t="shared" ref="O48:O54" si="16">SUM(C48:N48)</f>
        <v>0</v>
      </c>
      <c r="P48" s="138"/>
      <c r="Q48" s="230">
        <f>IF($O$52=0,0,O48/$O$52)</f>
        <v>0</v>
      </c>
      <c r="R48" s="118"/>
      <c r="S48" s="118"/>
    </row>
    <row r="49" spans="2:19" x14ac:dyDescent="0.35">
      <c r="B49" s="245" t="s">
        <v>102</v>
      </c>
      <c r="C49" s="257">
        <f>$D$14*C48</f>
        <v>0</v>
      </c>
      <c r="D49" s="257">
        <f t="shared" ref="D49:N49" si="17">$D$14*D48</f>
        <v>0</v>
      </c>
      <c r="E49" s="257">
        <f t="shared" si="17"/>
        <v>0</v>
      </c>
      <c r="F49" s="257">
        <f t="shared" si="17"/>
        <v>0</v>
      </c>
      <c r="G49" s="257">
        <f t="shared" si="17"/>
        <v>0</v>
      </c>
      <c r="H49" s="257">
        <f t="shared" si="17"/>
        <v>0</v>
      </c>
      <c r="I49" s="257">
        <f t="shared" si="17"/>
        <v>0</v>
      </c>
      <c r="J49" s="257">
        <f t="shared" si="17"/>
        <v>0</v>
      </c>
      <c r="K49" s="257">
        <f t="shared" si="17"/>
        <v>0</v>
      </c>
      <c r="L49" s="257">
        <f t="shared" si="17"/>
        <v>0</v>
      </c>
      <c r="M49" s="257">
        <f t="shared" si="17"/>
        <v>0</v>
      </c>
      <c r="N49" s="257">
        <f t="shared" si="17"/>
        <v>0</v>
      </c>
      <c r="O49" s="233">
        <f t="shared" si="16"/>
        <v>0</v>
      </c>
      <c r="P49" s="234">
        <f>(P50+P51)</f>
        <v>0</v>
      </c>
      <c r="Q49" s="230">
        <f>IF($O$53=0,0,O49/$O$53)</f>
        <v>0</v>
      </c>
      <c r="R49" s="118"/>
      <c r="S49" s="118"/>
    </row>
    <row r="50" spans="2:19" x14ac:dyDescent="0.35">
      <c r="B50" s="258" t="s">
        <v>103</v>
      </c>
      <c r="C50" s="257">
        <f>$E$14*C48</f>
        <v>0</v>
      </c>
      <c r="D50" s="257">
        <f t="shared" ref="D50:N50" si="18">$E$14*D48</f>
        <v>0</v>
      </c>
      <c r="E50" s="257">
        <f t="shared" si="18"/>
        <v>0</v>
      </c>
      <c r="F50" s="257">
        <f t="shared" si="18"/>
        <v>0</v>
      </c>
      <c r="G50" s="257">
        <f t="shared" si="18"/>
        <v>0</v>
      </c>
      <c r="H50" s="257">
        <f t="shared" si="18"/>
        <v>0</v>
      </c>
      <c r="I50" s="257">
        <f t="shared" si="18"/>
        <v>0</v>
      </c>
      <c r="J50" s="257">
        <f t="shared" si="18"/>
        <v>0</v>
      </c>
      <c r="K50" s="257">
        <f t="shared" si="18"/>
        <v>0</v>
      </c>
      <c r="L50" s="257">
        <f t="shared" si="18"/>
        <v>0</v>
      </c>
      <c r="M50" s="257">
        <f t="shared" si="18"/>
        <v>0</v>
      </c>
      <c r="N50" s="257">
        <f t="shared" si="18"/>
        <v>0</v>
      </c>
      <c r="O50" s="233">
        <f t="shared" si="16"/>
        <v>0</v>
      </c>
      <c r="P50" s="234">
        <f>IF(O49=0,0,O50/O49)</f>
        <v>0</v>
      </c>
      <c r="Q50" s="230">
        <f>IF($O$54=0,0,O50/$O$54)</f>
        <v>0</v>
      </c>
      <c r="R50" s="118"/>
      <c r="S50" s="118"/>
    </row>
    <row r="51" spans="2:19" x14ac:dyDescent="0.35">
      <c r="B51" s="231" t="s">
        <v>105</v>
      </c>
      <c r="C51" s="254">
        <f>C49-C50</f>
        <v>0</v>
      </c>
      <c r="D51" s="254">
        <f t="shared" ref="D51:N51" si="19">D49-D50</f>
        <v>0</v>
      </c>
      <c r="E51" s="254">
        <f t="shared" si="19"/>
        <v>0</v>
      </c>
      <c r="F51" s="254">
        <f t="shared" si="19"/>
        <v>0</v>
      </c>
      <c r="G51" s="254">
        <f t="shared" si="19"/>
        <v>0</v>
      </c>
      <c r="H51" s="254">
        <f t="shared" si="19"/>
        <v>0</v>
      </c>
      <c r="I51" s="254">
        <f t="shared" si="19"/>
        <v>0</v>
      </c>
      <c r="J51" s="254">
        <f t="shared" si="19"/>
        <v>0</v>
      </c>
      <c r="K51" s="254">
        <f t="shared" si="19"/>
        <v>0</v>
      </c>
      <c r="L51" s="254">
        <f t="shared" si="19"/>
        <v>0</v>
      </c>
      <c r="M51" s="254">
        <f t="shared" si="19"/>
        <v>0</v>
      </c>
      <c r="N51" s="254">
        <f t="shared" si="19"/>
        <v>0</v>
      </c>
      <c r="O51" s="233">
        <f t="shared" si="16"/>
        <v>0</v>
      </c>
      <c r="P51" s="234">
        <f>IF(O49=0,0,O51/O49)</f>
        <v>0</v>
      </c>
      <c r="Q51" s="230">
        <f>IF($O$55=0,0,O51/$O$55)</f>
        <v>0</v>
      </c>
      <c r="R51" s="118"/>
      <c r="S51" s="118"/>
    </row>
    <row r="52" spans="2:19" x14ac:dyDescent="0.35">
      <c r="B52" s="259" t="s">
        <v>106</v>
      </c>
      <c r="C52" s="260">
        <f t="shared" ref="C52:N54" si="20">C18+C24+C30+C36+C42+C48</f>
        <v>0</v>
      </c>
      <c r="D52" s="260">
        <f t="shared" si="20"/>
        <v>0</v>
      </c>
      <c r="E52" s="260">
        <f t="shared" si="20"/>
        <v>0</v>
      </c>
      <c r="F52" s="260">
        <f t="shared" si="20"/>
        <v>0</v>
      </c>
      <c r="G52" s="260">
        <f t="shared" si="20"/>
        <v>0</v>
      </c>
      <c r="H52" s="260">
        <f t="shared" si="20"/>
        <v>0</v>
      </c>
      <c r="I52" s="260">
        <f t="shared" si="20"/>
        <v>0</v>
      </c>
      <c r="J52" s="260">
        <f t="shared" si="20"/>
        <v>0</v>
      </c>
      <c r="K52" s="260">
        <f t="shared" si="20"/>
        <v>0</v>
      </c>
      <c r="L52" s="260">
        <f t="shared" si="20"/>
        <v>0</v>
      </c>
      <c r="M52" s="260">
        <f t="shared" si="20"/>
        <v>0</v>
      </c>
      <c r="N52" s="260">
        <f t="shared" si="20"/>
        <v>0</v>
      </c>
      <c r="O52" s="229">
        <f t="shared" si="16"/>
        <v>0</v>
      </c>
      <c r="P52" s="138"/>
      <c r="Q52" s="241"/>
      <c r="R52" s="118"/>
      <c r="S52" s="118"/>
    </row>
    <row r="53" spans="2:19" x14ac:dyDescent="0.35">
      <c r="B53" s="261" t="s">
        <v>102</v>
      </c>
      <c r="C53" s="262">
        <f t="shared" si="20"/>
        <v>0</v>
      </c>
      <c r="D53" s="262">
        <f t="shared" si="20"/>
        <v>0</v>
      </c>
      <c r="E53" s="262">
        <f t="shared" si="20"/>
        <v>0</v>
      </c>
      <c r="F53" s="262">
        <f t="shared" si="20"/>
        <v>0</v>
      </c>
      <c r="G53" s="262">
        <f t="shared" si="20"/>
        <v>0</v>
      </c>
      <c r="H53" s="262">
        <f t="shared" si="20"/>
        <v>0</v>
      </c>
      <c r="I53" s="262">
        <f t="shared" si="20"/>
        <v>0</v>
      </c>
      <c r="J53" s="262">
        <f t="shared" si="20"/>
        <v>0</v>
      </c>
      <c r="K53" s="262">
        <f t="shared" si="20"/>
        <v>0</v>
      </c>
      <c r="L53" s="262">
        <f t="shared" si="20"/>
        <v>0</v>
      </c>
      <c r="M53" s="262">
        <f t="shared" si="20"/>
        <v>0</v>
      </c>
      <c r="N53" s="262">
        <f t="shared" si="20"/>
        <v>0</v>
      </c>
      <c r="O53" s="233">
        <f t="shared" si="16"/>
        <v>0</v>
      </c>
      <c r="P53" s="138"/>
      <c r="Q53" s="241"/>
      <c r="R53" s="118"/>
      <c r="S53" s="118"/>
    </row>
    <row r="54" spans="2:19" x14ac:dyDescent="0.35">
      <c r="B54" s="263" t="s">
        <v>107</v>
      </c>
      <c r="C54" s="264">
        <f>C20+C26+C32+C38+C44+C50</f>
        <v>0</v>
      </c>
      <c r="D54" s="264">
        <f t="shared" si="20"/>
        <v>0</v>
      </c>
      <c r="E54" s="264">
        <f t="shared" si="20"/>
        <v>0</v>
      </c>
      <c r="F54" s="264">
        <f t="shared" si="20"/>
        <v>0</v>
      </c>
      <c r="G54" s="264">
        <f t="shared" si="20"/>
        <v>0</v>
      </c>
      <c r="H54" s="264">
        <f t="shared" si="20"/>
        <v>0</v>
      </c>
      <c r="I54" s="264">
        <f t="shared" si="20"/>
        <v>0</v>
      </c>
      <c r="J54" s="264">
        <f t="shared" si="20"/>
        <v>0</v>
      </c>
      <c r="K54" s="264">
        <f t="shared" si="20"/>
        <v>0</v>
      </c>
      <c r="L54" s="264">
        <f t="shared" si="20"/>
        <v>0</v>
      </c>
      <c r="M54" s="264">
        <f t="shared" si="20"/>
        <v>0</v>
      </c>
      <c r="N54" s="264">
        <f t="shared" si="20"/>
        <v>0</v>
      </c>
      <c r="O54" s="233">
        <f t="shared" si="16"/>
        <v>0</v>
      </c>
      <c r="P54" s="138"/>
      <c r="Q54" s="241"/>
      <c r="R54" s="118"/>
      <c r="S54" s="118"/>
    </row>
    <row r="55" spans="2:19" x14ac:dyDescent="0.35">
      <c r="B55" s="263" t="s">
        <v>104</v>
      </c>
      <c r="C55" s="265">
        <f>C53-C54</f>
        <v>0</v>
      </c>
      <c r="D55" s="265">
        <f t="shared" ref="D55:N55" si="21">D53-D54</f>
        <v>0</v>
      </c>
      <c r="E55" s="265">
        <f t="shared" si="21"/>
        <v>0</v>
      </c>
      <c r="F55" s="265">
        <f t="shared" si="21"/>
        <v>0</v>
      </c>
      <c r="G55" s="265">
        <f t="shared" si="21"/>
        <v>0</v>
      </c>
      <c r="H55" s="265">
        <f t="shared" si="21"/>
        <v>0</v>
      </c>
      <c r="I55" s="265">
        <f t="shared" si="21"/>
        <v>0</v>
      </c>
      <c r="J55" s="265">
        <f t="shared" si="21"/>
        <v>0</v>
      </c>
      <c r="K55" s="265">
        <f t="shared" si="21"/>
        <v>0</v>
      </c>
      <c r="L55" s="265">
        <f t="shared" si="21"/>
        <v>0</v>
      </c>
      <c r="M55" s="265">
        <f t="shared" si="21"/>
        <v>0</v>
      </c>
      <c r="N55" s="265">
        <f t="shared" si="21"/>
        <v>0</v>
      </c>
      <c r="O55" s="246">
        <f>O21+O27+O33+O39+O45+O51</f>
        <v>0</v>
      </c>
      <c r="P55" s="138"/>
      <c r="Q55" s="241"/>
    </row>
    <row r="56" spans="2:19" s="118" customFormat="1" x14ac:dyDescent="0.35"/>
    <row r="60" spans="2:19" x14ac:dyDescent="0.35">
      <c r="B60" s="266"/>
    </row>
  </sheetData>
  <sheetProtection formatColumns="0" formatRows="0"/>
  <mergeCells count="4">
    <mergeCell ref="B2:C2"/>
    <mergeCell ref="C5:D5"/>
    <mergeCell ref="B7:E7"/>
    <mergeCell ref="C15:N15"/>
  </mergeCells>
  <conditionalFormatting sqref="C18:N18">
    <cfRule type="containsBlanks" dxfId="62" priority="2" stopIfTrue="1">
      <formula>LEN(TRIM(C18))=0</formula>
    </cfRule>
  </conditionalFormatting>
  <conditionalFormatting sqref="C24:N24">
    <cfRule type="containsBlanks" dxfId="61" priority="3" stopIfTrue="1">
      <formula>LEN(TRIM(C24))=0</formula>
    </cfRule>
  </conditionalFormatting>
  <conditionalFormatting sqref="C30:N30 C36:N36 C42:N42 C48:N48">
    <cfRule type="containsBlanks" dxfId="60" priority="4" stopIfTrue="1">
      <formula>LEN(TRIM(C30))=0</formula>
    </cfRule>
  </conditionalFormatting>
  <conditionalFormatting sqref="B9:E14">
    <cfRule type="containsBlanks" dxfId="59" priority="1">
      <formula>LEN(TRIM(B9))=0</formula>
    </cfRule>
  </conditionalFormatting>
  <hyperlinks>
    <hyperlink ref="E8" location="'COGS Calculator'!A1" display="COGS Per Unit"/>
  </hyperlinks>
  <printOptions horizontalCentered="1"/>
  <pageMargins left="0.25" right="0.25" top="0.75" bottom="0.75" header="0.3" footer="0.3"/>
  <pageSetup scale="62" orientation="landscape" r:id="rId1"/>
  <headerFooter scaleWithDoc="0">
    <oddHeader>&amp;C&amp;"Gill Sans MT,Regular"&amp;12Sales Forecst Year 1</oddHeader>
    <oddFooter>&amp;L&amp;"Gill Sans MT,Regular"&amp;12&amp;F&amp;C&amp;"Gill Sans MT,Regular"&amp;12&amp;A&amp;R&amp;"Gill Sans MT,Regular"&amp;12&amp;D &amp;T</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F49"/>
  <sheetViews>
    <sheetView zoomScaleNormal="100" zoomScalePageLayoutView="50" workbookViewId="0">
      <selection activeCell="A4" sqref="A4"/>
    </sheetView>
  </sheetViews>
  <sheetFormatPr defaultColWidth="8.875" defaultRowHeight="15.75" x14ac:dyDescent="0.35"/>
  <cols>
    <col min="1" max="1" width="26.25" style="120" bestFit="1" customWidth="1"/>
    <col min="2" max="2" width="30.75" style="120" bestFit="1" customWidth="1"/>
    <col min="3" max="3" width="9.25" style="120" customWidth="1"/>
    <col min="4" max="4" width="10.25" style="120" bestFit="1" customWidth="1"/>
    <col min="5" max="5" width="9.25" style="120" customWidth="1"/>
    <col min="6" max="6" width="9" style="118" bestFit="1" customWidth="1"/>
    <col min="7" max="7" width="9.375" style="118" customWidth="1"/>
    <col min="8" max="8" width="9" style="120" bestFit="1" customWidth="1"/>
    <col min="9" max="9" width="9.25" style="120" customWidth="1"/>
    <col min="10" max="10" width="9" style="120" customWidth="1"/>
    <col min="11" max="11" width="11.875" style="120" bestFit="1" customWidth="1"/>
    <col min="12" max="12" width="9" style="120" bestFit="1" customWidth="1"/>
    <col min="13" max="14" width="11.25" style="120" bestFit="1" customWidth="1"/>
    <col min="15" max="15" width="14.25" style="120" bestFit="1" customWidth="1"/>
    <col min="16" max="16" width="13" style="120" customWidth="1"/>
    <col min="17" max="17" width="11.25" style="120" bestFit="1" customWidth="1"/>
    <col min="18" max="18" width="8.875" style="120"/>
    <col min="19" max="19" width="10.25" style="120" bestFit="1" customWidth="1"/>
    <col min="20" max="25" width="8.875" style="120"/>
    <col min="26" max="26" width="11.875" style="120" bestFit="1" customWidth="1"/>
    <col min="27" max="27" width="8.875" style="120"/>
    <col min="28" max="29" width="11.25" style="120" bestFit="1" customWidth="1"/>
    <col min="30" max="30" width="11" style="120" bestFit="1" customWidth="1"/>
    <col min="31" max="31" width="13" style="120" bestFit="1" customWidth="1"/>
    <col min="32" max="32" width="12.75" style="120" bestFit="1" customWidth="1"/>
    <col min="33" max="256" width="8.875" style="120"/>
    <col min="257" max="257" width="26.25" style="120" bestFit="1" customWidth="1"/>
    <col min="258" max="258" width="30.75" style="120" bestFit="1" customWidth="1"/>
    <col min="259" max="259" width="9.25" style="120" customWidth="1"/>
    <col min="260" max="260" width="10.25" style="120" bestFit="1" customWidth="1"/>
    <col min="261" max="261" width="9.25" style="120" customWidth="1"/>
    <col min="262" max="262" width="9" style="120" bestFit="1" customWidth="1"/>
    <col min="263" max="263" width="9.375" style="120" customWidth="1"/>
    <col min="264" max="264" width="9" style="120" bestFit="1" customWidth="1"/>
    <col min="265" max="265" width="9.25" style="120" customWidth="1"/>
    <col min="266" max="266" width="9" style="120" customWidth="1"/>
    <col min="267" max="267" width="11.875" style="120" bestFit="1" customWidth="1"/>
    <col min="268" max="268" width="9" style="120" bestFit="1" customWidth="1"/>
    <col min="269" max="270" width="11.25" style="120" bestFit="1" customWidth="1"/>
    <col min="271" max="271" width="14.25" style="120" bestFit="1" customWidth="1"/>
    <col min="272" max="272" width="13" style="120" customWidth="1"/>
    <col min="273" max="273" width="11.25" style="120" bestFit="1" customWidth="1"/>
    <col min="274" max="274" width="8.875" style="120"/>
    <col min="275" max="275" width="10.25" style="120" bestFit="1" customWidth="1"/>
    <col min="276" max="281" width="8.875" style="120"/>
    <col min="282" max="282" width="11.875" style="120" bestFit="1" customWidth="1"/>
    <col min="283" max="283" width="8.875" style="120"/>
    <col min="284" max="285" width="11.25" style="120" bestFit="1" customWidth="1"/>
    <col min="286" max="286" width="11" style="120" bestFit="1" customWidth="1"/>
    <col min="287" max="287" width="13" style="120" bestFit="1" customWidth="1"/>
    <col min="288" max="288" width="12.75" style="120" bestFit="1" customWidth="1"/>
    <col min="289" max="512" width="8.875" style="120"/>
    <col min="513" max="513" width="26.25" style="120" bestFit="1" customWidth="1"/>
    <col min="514" max="514" width="30.75" style="120" bestFit="1" customWidth="1"/>
    <col min="515" max="515" width="9.25" style="120" customWidth="1"/>
    <col min="516" max="516" width="10.25" style="120" bestFit="1" customWidth="1"/>
    <col min="517" max="517" width="9.25" style="120" customWidth="1"/>
    <col min="518" max="518" width="9" style="120" bestFit="1" customWidth="1"/>
    <col min="519" max="519" width="9.375" style="120" customWidth="1"/>
    <col min="520" max="520" width="9" style="120" bestFit="1" customWidth="1"/>
    <col min="521" max="521" width="9.25" style="120" customWidth="1"/>
    <col min="522" max="522" width="9" style="120" customWidth="1"/>
    <col min="523" max="523" width="11.875" style="120" bestFit="1" customWidth="1"/>
    <col min="524" max="524" width="9" style="120" bestFit="1" customWidth="1"/>
    <col min="525" max="526" width="11.25" style="120" bestFit="1" customWidth="1"/>
    <col min="527" max="527" width="14.25" style="120" bestFit="1" customWidth="1"/>
    <col min="528" max="528" width="13" style="120" customWidth="1"/>
    <col min="529" max="529" width="11.25" style="120" bestFit="1" customWidth="1"/>
    <col min="530" max="530" width="8.875" style="120"/>
    <col min="531" max="531" width="10.25" style="120" bestFit="1" customWidth="1"/>
    <col min="532" max="537" width="8.875" style="120"/>
    <col min="538" max="538" width="11.875" style="120" bestFit="1" customWidth="1"/>
    <col min="539" max="539" width="8.875" style="120"/>
    <col min="540" max="541" width="11.25" style="120" bestFit="1" customWidth="1"/>
    <col min="542" max="542" width="11" style="120" bestFit="1" customWidth="1"/>
    <col min="543" max="543" width="13" style="120" bestFit="1" customWidth="1"/>
    <col min="544" max="544" width="12.75" style="120" bestFit="1" customWidth="1"/>
    <col min="545" max="768" width="8.875" style="120"/>
    <col min="769" max="769" width="26.25" style="120" bestFit="1" customWidth="1"/>
    <col min="770" max="770" width="30.75" style="120" bestFit="1" customWidth="1"/>
    <col min="771" max="771" width="9.25" style="120" customWidth="1"/>
    <col min="772" max="772" width="10.25" style="120" bestFit="1" customWidth="1"/>
    <col min="773" max="773" width="9.25" style="120" customWidth="1"/>
    <col min="774" max="774" width="9" style="120" bestFit="1" customWidth="1"/>
    <col min="775" max="775" width="9.375" style="120" customWidth="1"/>
    <col min="776" max="776" width="9" style="120" bestFit="1" customWidth="1"/>
    <col min="777" max="777" width="9.25" style="120" customWidth="1"/>
    <col min="778" max="778" width="9" style="120" customWidth="1"/>
    <col min="779" max="779" width="11.875" style="120" bestFit="1" customWidth="1"/>
    <col min="780" max="780" width="9" style="120" bestFit="1" customWidth="1"/>
    <col min="781" max="782" width="11.25" style="120" bestFit="1" customWidth="1"/>
    <col min="783" max="783" width="14.25" style="120" bestFit="1" customWidth="1"/>
    <col min="784" max="784" width="13" style="120" customWidth="1"/>
    <col min="785" max="785" width="11.25" style="120" bestFit="1" customWidth="1"/>
    <col min="786" max="786" width="8.875" style="120"/>
    <col min="787" max="787" width="10.25" style="120" bestFit="1" customWidth="1"/>
    <col min="788" max="793" width="8.875" style="120"/>
    <col min="794" max="794" width="11.875" style="120" bestFit="1" customWidth="1"/>
    <col min="795" max="795" width="8.875" style="120"/>
    <col min="796" max="797" width="11.25" style="120" bestFit="1" customWidth="1"/>
    <col min="798" max="798" width="11" style="120" bestFit="1" customWidth="1"/>
    <col min="799" max="799" width="13" style="120" bestFit="1" customWidth="1"/>
    <col min="800" max="800" width="12.75" style="120" bestFit="1" customWidth="1"/>
    <col min="801" max="1024" width="8.875" style="120"/>
    <col min="1025" max="1025" width="26.25" style="120" bestFit="1" customWidth="1"/>
    <col min="1026" max="1026" width="30.75" style="120" bestFit="1" customWidth="1"/>
    <col min="1027" max="1027" width="9.25" style="120" customWidth="1"/>
    <col min="1028" max="1028" width="10.25" style="120" bestFit="1" customWidth="1"/>
    <col min="1029" max="1029" width="9.25" style="120" customWidth="1"/>
    <col min="1030" max="1030" width="9" style="120" bestFit="1" customWidth="1"/>
    <col min="1031" max="1031" width="9.375" style="120" customWidth="1"/>
    <col min="1032" max="1032" width="9" style="120" bestFit="1" customWidth="1"/>
    <col min="1033" max="1033" width="9.25" style="120" customWidth="1"/>
    <col min="1034" max="1034" width="9" style="120" customWidth="1"/>
    <col min="1035" max="1035" width="11.875" style="120" bestFit="1" customWidth="1"/>
    <col min="1036" max="1036" width="9" style="120" bestFit="1" customWidth="1"/>
    <col min="1037" max="1038" width="11.25" style="120" bestFit="1" customWidth="1"/>
    <col min="1039" max="1039" width="14.25" style="120" bestFit="1" customWidth="1"/>
    <col min="1040" max="1040" width="13" style="120" customWidth="1"/>
    <col min="1041" max="1041" width="11.25" style="120" bestFit="1" customWidth="1"/>
    <col min="1042" max="1042" width="8.875" style="120"/>
    <col min="1043" max="1043" width="10.25" style="120" bestFit="1" customWidth="1"/>
    <col min="1044" max="1049" width="8.875" style="120"/>
    <col min="1050" max="1050" width="11.875" style="120" bestFit="1" customWidth="1"/>
    <col min="1051" max="1051" width="8.875" style="120"/>
    <col min="1052" max="1053" width="11.25" style="120" bestFit="1" customWidth="1"/>
    <col min="1054" max="1054" width="11" style="120" bestFit="1" customWidth="1"/>
    <col min="1055" max="1055" width="13" style="120" bestFit="1" customWidth="1"/>
    <col min="1056" max="1056" width="12.75" style="120" bestFit="1" customWidth="1"/>
    <col min="1057" max="1280" width="8.875" style="120"/>
    <col min="1281" max="1281" width="26.25" style="120" bestFit="1" customWidth="1"/>
    <col min="1282" max="1282" width="30.75" style="120" bestFit="1" customWidth="1"/>
    <col min="1283" max="1283" width="9.25" style="120" customWidth="1"/>
    <col min="1284" max="1284" width="10.25" style="120" bestFit="1" customWidth="1"/>
    <col min="1285" max="1285" width="9.25" style="120" customWidth="1"/>
    <col min="1286" max="1286" width="9" style="120" bestFit="1" customWidth="1"/>
    <col min="1287" max="1287" width="9.375" style="120" customWidth="1"/>
    <col min="1288" max="1288" width="9" style="120" bestFit="1" customWidth="1"/>
    <col min="1289" max="1289" width="9.25" style="120" customWidth="1"/>
    <col min="1290" max="1290" width="9" style="120" customWidth="1"/>
    <col min="1291" max="1291" width="11.875" style="120" bestFit="1" customWidth="1"/>
    <col min="1292" max="1292" width="9" style="120" bestFit="1" customWidth="1"/>
    <col min="1293" max="1294" width="11.25" style="120" bestFit="1" customWidth="1"/>
    <col min="1295" max="1295" width="14.25" style="120" bestFit="1" customWidth="1"/>
    <col min="1296" max="1296" width="13" style="120" customWidth="1"/>
    <col min="1297" max="1297" width="11.25" style="120" bestFit="1" customWidth="1"/>
    <col min="1298" max="1298" width="8.875" style="120"/>
    <col min="1299" max="1299" width="10.25" style="120" bestFit="1" customWidth="1"/>
    <col min="1300" max="1305" width="8.875" style="120"/>
    <col min="1306" max="1306" width="11.875" style="120" bestFit="1" customWidth="1"/>
    <col min="1307" max="1307" width="8.875" style="120"/>
    <col min="1308" max="1309" width="11.25" style="120" bestFit="1" customWidth="1"/>
    <col min="1310" max="1310" width="11" style="120" bestFit="1" customWidth="1"/>
    <col min="1311" max="1311" width="13" style="120" bestFit="1" customWidth="1"/>
    <col min="1312" max="1312" width="12.75" style="120" bestFit="1" customWidth="1"/>
    <col min="1313" max="1536" width="8.875" style="120"/>
    <col min="1537" max="1537" width="26.25" style="120" bestFit="1" customWidth="1"/>
    <col min="1538" max="1538" width="30.75" style="120" bestFit="1" customWidth="1"/>
    <col min="1539" max="1539" width="9.25" style="120" customWidth="1"/>
    <col min="1540" max="1540" width="10.25" style="120" bestFit="1" customWidth="1"/>
    <col min="1541" max="1541" width="9.25" style="120" customWidth="1"/>
    <col min="1542" max="1542" width="9" style="120" bestFit="1" customWidth="1"/>
    <col min="1543" max="1543" width="9.375" style="120" customWidth="1"/>
    <col min="1544" max="1544" width="9" style="120" bestFit="1" customWidth="1"/>
    <col min="1545" max="1545" width="9.25" style="120" customWidth="1"/>
    <col min="1546" max="1546" width="9" style="120" customWidth="1"/>
    <col min="1547" max="1547" width="11.875" style="120" bestFit="1" customWidth="1"/>
    <col min="1548" max="1548" width="9" style="120" bestFit="1" customWidth="1"/>
    <col min="1549" max="1550" width="11.25" style="120" bestFit="1" customWidth="1"/>
    <col min="1551" max="1551" width="14.25" style="120" bestFit="1" customWidth="1"/>
    <col min="1552" max="1552" width="13" style="120" customWidth="1"/>
    <col min="1553" max="1553" width="11.25" style="120" bestFit="1" customWidth="1"/>
    <col min="1554" max="1554" width="8.875" style="120"/>
    <col min="1555" max="1555" width="10.25" style="120" bestFit="1" customWidth="1"/>
    <col min="1556" max="1561" width="8.875" style="120"/>
    <col min="1562" max="1562" width="11.875" style="120" bestFit="1" customWidth="1"/>
    <col min="1563" max="1563" width="8.875" style="120"/>
    <col min="1564" max="1565" width="11.25" style="120" bestFit="1" customWidth="1"/>
    <col min="1566" max="1566" width="11" style="120" bestFit="1" customWidth="1"/>
    <col min="1567" max="1567" width="13" style="120" bestFit="1" customWidth="1"/>
    <col min="1568" max="1568" width="12.75" style="120" bestFit="1" customWidth="1"/>
    <col min="1569" max="1792" width="8.875" style="120"/>
    <col min="1793" max="1793" width="26.25" style="120" bestFit="1" customWidth="1"/>
    <col min="1794" max="1794" width="30.75" style="120" bestFit="1" customWidth="1"/>
    <col min="1795" max="1795" width="9.25" style="120" customWidth="1"/>
    <col min="1796" max="1796" width="10.25" style="120" bestFit="1" customWidth="1"/>
    <col min="1797" max="1797" width="9.25" style="120" customWidth="1"/>
    <col min="1798" max="1798" width="9" style="120" bestFit="1" customWidth="1"/>
    <col min="1799" max="1799" width="9.375" style="120" customWidth="1"/>
    <col min="1800" max="1800" width="9" style="120" bestFit="1" customWidth="1"/>
    <col min="1801" max="1801" width="9.25" style="120" customWidth="1"/>
    <col min="1802" max="1802" width="9" style="120" customWidth="1"/>
    <col min="1803" max="1803" width="11.875" style="120" bestFit="1" customWidth="1"/>
    <col min="1804" max="1804" width="9" style="120" bestFit="1" customWidth="1"/>
    <col min="1805" max="1806" width="11.25" style="120" bestFit="1" customWidth="1"/>
    <col min="1807" max="1807" width="14.25" style="120" bestFit="1" customWidth="1"/>
    <col min="1808" max="1808" width="13" style="120" customWidth="1"/>
    <col min="1809" max="1809" width="11.25" style="120" bestFit="1" customWidth="1"/>
    <col min="1810" max="1810" width="8.875" style="120"/>
    <col min="1811" max="1811" width="10.25" style="120" bestFit="1" customWidth="1"/>
    <col min="1812" max="1817" width="8.875" style="120"/>
    <col min="1818" max="1818" width="11.875" style="120" bestFit="1" customWidth="1"/>
    <col min="1819" max="1819" width="8.875" style="120"/>
    <col min="1820" max="1821" width="11.25" style="120" bestFit="1" customWidth="1"/>
    <col min="1822" max="1822" width="11" style="120" bestFit="1" customWidth="1"/>
    <col min="1823" max="1823" width="13" style="120" bestFit="1" customWidth="1"/>
    <col min="1824" max="1824" width="12.75" style="120" bestFit="1" customWidth="1"/>
    <col min="1825" max="2048" width="8.875" style="120"/>
    <col min="2049" max="2049" width="26.25" style="120" bestFit="1" customWidth="1"/>
    <col min="2050" max="2050" width="30.75" style="120" bestFit="1" customWidth="1"/>
    <col min="2051" max="2051" width="9.25" style="120" customWidth="1"/>
    <col min="2052" max="2052" width="10.25" style="120" bestFit="1" customWidth="1"/>
    <col min="2053" max="2053" width="9.25" style="120" customWidth="1"/>
    <col min="2054" max="2054" width="9" style="120" bestFit="1" customWidth="1"/>
    <col min="2055" max="2055" width="9.375" style="120" customWidth="1"/>
    <col min="2056" max="2056" width="9" style="120" bestFit="1" customWidth="1"/>
    <col min="2057" max="2057" width="9.25" style="120" customWidth="1"/>
    <col min="2058" max="2058" width="9" style="120" customWidth="1"/>
    <col min="2059" max="2059" width="11.875" style="120" bestFit="1" customWidth="1"/>
    <col min="2060" max="2060" width="9" style="120" bestFit="1" customWidth="1"/>
    <col min="2061" max="2062" width="11.25" style="120" bestFit="1" customWidth="1"/>
    <col min="2063" max="2063" width="14.25" style="120" bestFit="1" customWidth="1"/>
    <col min="2064" max="2064" width="13" style="120" customWidth="1"/>
    <col min="2065" max="2065" width="11.25" style="120" bestFit="1" customWidth="1"/>
    <col min="2066" max="2066" width="8.875" style="120"/>
    <col min="2067" max="2067" width="10.25" style="120" bestFit="1" customWidth="1"/>
    <col min="2068" max="2073" width="8.875" style="120"/>
    <col min="2074" max="2074" width="11.875" style="120" bestFit="1" customWidth="1"/>
    <col min="2075" max="2075" width="8.875" style="120"/>
    <col min="2076" max="2077" width="11.25" style="120" bestFit="1" customWidth="1"/>
    <col min="2078" max="2078" width="11" style="120" bestFit="1" customWidth="1"/>
    <col min="2079" max="2079" width="13" style="120" bestFit="1" customWidth="1"/>
    <col min="2080" max="2080" width="12.75" style="120" bestFit="1" customWidth="1"/>
    <col min="2081" max="2304" width="8.875" style="120"/>
    <col min="2305" max="2305" width="26.25" style="120" bestFit="1" customWidth="1"/>
    <col min="2306" max="2306" width="30.75" style="120" bestFit="1" customWidth="1"/>
    <col min="2307" max="2307" width="9.25" style="120" customWidth="1"/>
    <col min="2308" max="2308" width="10.25" style="120" bestFit="1" customWidth="1"/>
    <col min="2309" max="2309" width="9.25" style="120" customWidth="1"/>
    <col min="2310" max="2310" width="9" style="120" bestFit="1" customWidth="1"/>
    <col min="2311" max="2311" width="9.375" style="120" customWidth="1"/>
    <col min="2312" max="2312" width="9" style="120" bestFit="1" customWidth="1"/>
    <col min="2313" max="2313" width="9.25" style="120" customWidth="1"/>
    <col min="2314" max="2314" width="9" style="120" customWidth="1"/>
    <col min="2315" max="2315" width="11.875" style="120" bestFit="1" customWidth="1"/>
    <col min="2316" max="2316" width="9" style="120" bestFit="1" customWidth="1"/>
    <col min="2317" max="2318" width="11.25" style="120" bestFit="1" customWidth="1"/>
    <col min="2319" max="2319" width="14.25" style="120" bestFit="1" customWidth="1"/>
    <col min="2320" max="2320" width="13" style="120" customWidth="1"/>
    <col min="2321" max="2321" width="11.25" style="120" bestFit="1" customWidth="1"/>
    <col min="2322" max="2322" width="8.875" style="120"/>
    <col min="2323" max="2323" width="10.25" style="120" bestFit="1" customWidth="1"/>
    <col min="2324" max="2329" width="8.875" style="120"/>
    <col min="2330" max="2330" width="11.875" style="120" bestFit="1" customWidth="1"/>
    <col min="2331" max="2331" width="8.875" style="120"/>
    <col min="2332" max="2333" width="11.25" style="120" bestFit="1" customWidth="1"/>
    <col min="2334" max="2334" width="11" style="120" bestFit="1" customWidth="1"/>
    <col min="2335" max="2335" width="13" style="120" bestFit="1" customWidth="1"/>
    <col min="2336" max="2336" width="12.75" style="120" bestFit="1" customWidth="1"/>
    <col min="2337" max="2560" width="8.875" style="120"/>
    <col min="2561" max="2561" width="26.25" style="120" bestFit="1" customWidth="1"/>
    <col min="2562" max="2562" width="30.75" style="120" bestFit="1" customWidth="1"/>
    <col min="2563" max="2563" width="9.25" style="120" customWidth="1"/>
    <col min="2564" max="2564" width="10.25" style="120" bestFit="1" customWidth="1"/>
    <col min="2565" max="2565" width="9.25" style="120" customWidth="1"/>
    <col min="2566" max="2566" width="9" style="120" bestFit="1" customWidth="1"/>
    <col min="2567" max="2567" width="9.375" style="120" customWidth="1"/>
    <col min="2568" max="2568" width="9" style="120" bestFit="1" customWidth="1"/>
    <col min="2569" max="2569" width="9.25" style="120" customWidth="1"/>
    <col min="2570" max="2570" width="9" style="120" customWidth="1"/>
    <col min="2571" max="2571" width="11.875" style="120" bestFit="1" customWidth="1"/>
    <col min="2572" max="2572" width="9" style="120" bestFit="1" customWidth="1"/>
    <col min="2573" max="2574" width="11.25" style="120" bestFit="1" customWidth="1"/>
    <col min="2575" max="2575" width="14.25" style="120" bestFit="1" customWidth="1"/>
    <col min="2576" max="2576" width="13" style="120" customWidth="1"/>
    <col min="2577" max="2577" width="11.25" style="120" bestFit="1" customWidth="1"/>
    <col min="2578" max="2578" width="8.875" style="120"/>
    <col min="2579" max="2579" width="10.25" style="120" bestFit="1" customWidth="1"/>
    <col min="2580" max="2585" width="8.875" style="120"/>
    <col min="2586" max="2586" width="11.875" style="120" bestFit="1" customWidth="1"/>
    <col min="2587" max="2587" width="8.875" style="120"/>
    <col min="2588" max="2589" width="11.25" style="120" bestFit="1" customWidth="1"/>
    <col min="2590" max="2590" width="11" style="120" bestFit="1" customWidth="1"/>
    <col min="2591" max="2591" width="13" style="120" bestFit="1" customWidth="1"/>
    <col min="2592" max="2592" width="12.75" style="120" bestFit="1" customWidth="1"/>
    <col min="2593" max="2816" width="8.875" style="120"/>
    <col min="2817" max="2817" width="26.25" style="120" bestFit="1" customWidth="1"/>
    <col min="2818" max="2818" width="30.75" style="120" bestFit="1" customWidth="1"/>
    <col min="2819" max="2819" width="9.25" style="120" customWidth="1"/>
    <col min="2820" max="2820" width="10.25" style="120" bestFit="1" customWidth="1"/>
    <col min="2821" max="2821" width="9.25" style="120" customWidth="1"/>
    <col min="2822" max="2822" width="9" style="120" bestFit="1" customWidth="1"/>
    <col min="2823" max="2823" width="9.375" style="120" customWidth="1"/>
    <col min="2824" max="2824" width="9" style="120" bestFit="1" customWidth="1"/>
    <col min="2825" max="2825" width="9.25" style="120" customWidth="1"/>
    <col min="2826" max="2826" width="9" style="120" customWidth="1"/>
    <col min="2827" max="2827" width="11.875" style="120" bestFit="1" customWidth="1"/>
    <col min="2828" max="2828" width="9" style="120" bestFit="1" customWidth="1"/>
    <col min="2829" max="2830" width="11.25" style="120" bestFit="1" customWidth="1"/>
    <col min="2831" max="2831" width="14.25" style="120" bestFit="1" customWidth="1"/>
    <col min="2832" max="2832" width="13" style="120" customWidth="1"/>
    <col min="2833" max="2833" width="11.25" style="120" bestFit="1" customWidth="1"/>
    <col min="2834" max="2834" width="8.875" style="120"/>
    <col min="2835" max="2835" width="10.25" style="120" bestFit="1" customWidth="1"/>
    <col min="2836" max="2841" width="8.875" style="120"/>
    <col min="2842" max="2842" width="11.875" style="120" bestFit="1" customWidth="1"/>
    <col min="2843" max="2843" width="8.875" style="120"/>
    <col min="2844" max="2845" width="11.25" style="120" bestFit="1" customWidth="1"/>
    <col min="2846" max="2846" width="11" style="120" bestFit="1" customWidth="1"/>
    <col min="2847" max="2847" width="13" style="120" bestFit="1" customWidth="1"/>
    <col min="2848" max="2848" width="12.75" style="120" bestFit="1" customWidth="1"/>
    <col min="2849" max="3072" width="8.875" style="120"/>
    <col min="3073" max="3073" width="26.25" style="120" bestFit="1" customWidth="1"/>
    <col min="3074" max="3074" width="30.75" style="120" bestFit="1" customWidth="1"/>
    <col min="3075" max="3075" width="9.25" style="120" customWidth="1"/>
    <col min="3076" max="3076" width="10.25" style="120" bestFit="1" customWidth="1"/>
    <col min="3077" max="3077" width="9.25" style="120" customWidth="1"/>
    <col min="3078" max="3078" width="9" style="120" bestFit="1" customWidth="1"/>
    <col min="3079" max="3079" width="9.375" style="120" customWidth="1"/>
    <col min="3080" max="3080" width="9" style="120" bestFit="1" customWidth="1"/>
    <col min="3081" max="3081" width="9.25" style="120" customWidth="1"/>
    <col min="3082" max="3082" width="9" style="120" customWidth="1"/>
    <col min="3083" max="3083" width="11.875" style="120" bestFit="1" customWidth="1"/>
    <col min="3084" max="3084" width="9" style="120" bestFit="1" customWidth="1"/>
    <col min="3085" max="3086" width="11.25" style="120" bestFit="1" customWidth="1"/>
    <col min="3087" max="3087" width="14.25" style="120" bestFit="1" customWidth="1"/>
    <col min="3088" max="3088" width="13" style="120" customWidth="1"/>
    <col min="3089" max="3089" width="11.25" style="120" bestFit="1" customWidth="1"/>
    <col min="3090" max="3090" width="8.875" style="120"/>
    <col min="3091" max="3091" width="10.25" style="120" bestFit="1" customWidth="1"/>
    <col min="3092" max="3097" width="8.875" style="120"/>
    <col min="3098" max="3098" width="11.875" style="120" bestFit="1" customWidth="1"/>
    <col min="3099" max="3099" width="8.875" style="120"/>
    <col min="3100" max="3101" width="11.25" style="120" bestFit="1" customWidth="1"/>
    <col min="3102" max="3102" width="11" style="120" bestFit="1" customWidth="1"/>
    <col min="3103" max="3103" width="13" style="120" bestFit="1" customWidth="1"/>
    <col min="3104" max="3104" width="12.75" style="120" bestFit="1" customWidth="1"/>
    <col min="3105" max="3328" width="8.875" style="120"/>
    <col min="3329" max="3329" width="26.25" style="120" bestFit="1" customWidth="1"/>
    <col min="3330" max="3330" width="30.75" style="120" bestFit="1" customWidth="1"/>
    <col min="3331" max="3331" width="9.25" style="120" customWidth="1"/>
    <col min="3332" max="3332" width="10.25" style="120" bestFit="1" customWidth="1"/>
    <col min="3333" max="3333" width="9.25" style="120" customWidth="1"/>
    <col min="3334" max="3334" width="9" style="120" bestFit="1" customWidth="1"/>
    <col min="3335" max="3335" width="9.375" style="120" customWidth="1"/>
    <col min="3336" max="3336" width="9" style="120" bestFit="1" customWidth="1"/>
    <col min="3337" max="3337" width="9.25" style="120" customWidth="1"/>
    <col min="3338" max="3338" width="9" style="120" customWidth="1"/>
    <col min="3339" max="3339" width="11.875" style="120" bestFit="1" customWidth="1"/>
    <col min="3340" max="3340" width="9" style="120" bestFit="1" customWidth="1"/>
    <col min="3341" max="3342" width="11.25" style="120" bestFit="1" customWidth="1"/>
    <col min="3343" max="3343" width="14.25" style="120" bestFit="1" customWidth="1"/>
    <col min="3344" max="3344" width="13" style="120" customWidth="1"/>
    <col min="3345" max="3345" width="11.25" style="120" bestFit="1" customWidth="1"/>
    <col min="3346" max="3346" width="8.875" style="120"/>
    <col min="3347" max="3347" width="10.25" style="120" bestFit="1" customWidth="1"/>
    <col min="3348" max="3353" width="8.875" style="120"/>
    <col min="3354" max="3354" width="11.875" style="120" bestFit="1" customWidth="1"/>
    <col min="3355" max="3355" width="8.875" style="120"/>
    <col min="3356" max="3357" width="11.25" style="120" bestFit="1" customWidth="1"/>
    <col min="3358" max="3358" width="11" style="120" bestFit="1" customWidth="1"/>
    <col min="3359" max="3359" width="13" style="120" bestFit="1" customWidth="1"/>
    <col min="3360" max="3360" width="12.75" style="120" bestFit="1" customWidth="1"/>
    <col min="3361" max="3584" width="8.875" style="120"/>
    <col min="3585" max="3585" width="26.25" style="120" bestFit="1" customWidth="1"/>
    <col min="3586" max="3586" width="30.75" style="120" bestFit="1" customWidth="1"/>
    <col min="3587" max="3587" width="9.25" style="120" customWidth="1"/>
    <col min="3588" max="3588" width="10.25" style="120" bestFit="1" customWidth="1"/>
    <col min="3589" max="3589" width="9.25" style="120" customWidth="1"/>
    <col min="3590" max="3590" width="9" style="120" bestFit="1" customWidth="1"/>
    <col min="3591" max="3591" width="9.375" style="120" customWidth="1"/>
    <col min="3592" max="3592" width="9" style="120" bestFit="1" customWidth="1"/>
    <col min="3593" max="3593" width="9.25" style="120" customWidth="1"/>
    <col min="3594" max="3594" width="9" style="120" customWidth="1"/>
    <col min="3595" max="3595" width="11.875" style="120" bestFit="1" customWidth="1"/>
    <col min="3596" max="3596" width="9" style="120" bestFit="1" customWidth="1"/>
    <col min="3597" max="3598" width="11.25" style="120" bestFit="1" customWidth="1"/>
    <col min="3599" max="3599" width="14.25" style="120" bestFit="1" customWidth="1"/>
    <col min="3600" max="3600" width="13" style="120" customWidth="1"/>
    <col min="3601" max="3601" width="11.25" style="120" bestFit="1" customWidth="1"/>
    <col min="3602" max="3602" width="8.875" style="120"/>
    <col min="3603" max="3603" width="10.25" style="120" bestFit="1" customWidth="1"/>
    <col min="3604" max="3609" width="8.875" style="120"/>
    <col min="3610" max="3610" width="11.875" style="120" bestFit="1" customWidth="1"/>
    <col min="3611" max="3611" width="8.875" style="120"/>
    <col min="3612" max="3613" width="11.25" style="120" bestFit="1" customWidth="1"/>
    <col min="3614" max="3614" width="11" style="120" bestFit="1" customWidth="1"/>
    <col min="3615" max="3615" width="13" style="120" bestFit="1" customWidth="1"/>
    <col min="3616" max="3616" width="12.75" style="120" bestFit="1" customWidth="1"/>
    <col min="3617" max="3840" width="8.875" style="120"/>
    <col min="3841" max="3841" width="26.25" style="120" bestFit="1" customWidth="1"/>
    <col min="3842" max="3842" width="30.75" style="120" bestFit="1" customWidth="1"/>
    <col min="3843" max="3843" width="9.25" style="120" customWidth="1"/>
    <col min="3844" max="3844" width="10.25" style="120" bestFit="1" customWidth="1"/>
    <col min="3845" max="3845" width="9.25" style="120" customWidth="1"/>
    <col min="3846" max="3846" width="9" style="120" bestFit="1" customWidth="1"/>
    <col min="3847" max="3847" width="9.375" style="120" customWidth="1"/>
    <col min="3848" max="3848" width="9" style="120" bestFit="1" customWidth="1"/>
    <col min="3849" max="3849" width="9.25" style="120" customWidth="1"/>
    <col min="3850" max="3850" width="9" style="120" customWidth="1"/>
    <col min="3851" max="3851" width="11.875" style="120" bestFit="1" customWidth="1"/>
    <col min="3852" max="3852" width="9" style="120" bestFit="1" customWidth="1"/>
    <col min="3853" max="3854" width="11.25" style="120" bestFit="1" customWidth="1"/>
    <col min="3855" max="3855" width="14.25" style="120" bestFit="1" customWidth="1"/>
    <col min="3856" max="3856" width="13" style="120" customWidth="1"/>
    <col min="3857" max="3857" width="11.25" style="120" bestFit="1" customWidth="1"/>
    <col min="3858" max="3858" width="8.875" style="120"/>
    <col min="3859" max="3859" width="10.25" style="120" bestFit="1" customWidth="1"/>
    <col min="3860" max="3865" width="8.875" style="120"/>
    <col min="3866" max="3866" width="11.875" style="120" bestFit="1" customWidth="1"/>
    <col min="3867" max="3867" width="8.875" style="120"/>
    <col min="3868" max="3869" width="11.25" style="120" bestFit="1" customWidth="1"/>
    <col min="3870" max="3870" width="11" style="120" bestFit="1" customWidth="1"/>
    <col min="3871" max="3871" width="13" style="120" bestFit="1" customWidth="1"/>
    <col min="3872" max="3872" width="12.75" style="120" bestFit="1" customWidth="1"/>
    <col min="3873" max="4096" width="8.875" style="120"/>
    <col min="4097" max="4097" width="26.25" style="120" bestFit="1" customWidth="1"/>
    <col min="4098" max="4098" width="30.75" style="120" bestFit="1" customWidth="1"/>
    <col min="4099" max="4099" width="9.25" style="120" customWidth="1"/>
    <col min="4100" max="4100" width="10.25" style="120" bestFit="1" customWidth="1"/>
    <col min="4101" max="4101" width="9.25" style="120" customWidth="1"/>
    <col min="4102" max="4102" width="9" style="120" bestFit="1" customWidth="1"/>
    <col min="4103" max="4103" width="9.375" style="120" customWidth="1"/>
    <col min="4104" max="4104" width="9" style="120" bestFit="1" customWidth="1"/>
    <col min="4105" max="4105" width="9.25" style="120" customWidth="1"/>
    <col min="4106" max="4106" width="9" style="120" customWidth="1"/>
    <col min="4107" max="4107" width="11.875" style="120" bestFit="1" customWidth="1"/>
    <col min="4108" max="4108" width="9" style="120" bestFit="1" customWidth="1"/>
    <col min="4109" max="4110" width="11.25" style="120" bestFit="1" customWidth="1"/>
    <col min="4111" max="4111" width="14.25" style="120" bestFit="1" customWidth="1"/>
    <col min="4112" max="4112" width="13" style="120" customWidth="1"/>
    <col min="4113" max="4113" width="11.25" style="120" bestFit="1" customWidth="1"/>
    <col min="4114" max="4114" width="8.875" style="120"/>
    <col min="4115" max="4115" width="10.25" style="120" bestFit="1" customWidth="1"/>
    <col min="4116" max="4121" width="8.875" style="120"/>
    <col min="4122" max="4122" width="11.875" style="120" bestFit="1" customWidth="1"/>
    <col min="4123" max="4123" width="8.875" style="120"/>
    <col min="4124" max="4125" width="11.25" style="120" bestFit="1" customWidth="1"/>
    <col min="4126" max="4126" width="11" style="120" bestFit="1" customWidth="1"/>
    <col min="4127" max="4127" width="13" style="120" bestFit="1" customWidth="1"/>
    <col min="4128" max="4128" width="12.75" style="120" bestFit="1" customWidth="1"/>
    <col min="4129" max="4352" width="8.875" style="120"/>
    <col min="4353" max="4353" width="26.25" style="120" bestFit="1" customWidth="1"/>
    <col min="4354" max="4354" width="30.75" style="120" bestFit="1" customWidth="1"/>
    <col min="4355" max="4355" width="9.25" style="120" customWidth="1"/>
    <col min="4356" max="4356" width="10.25" style="120" bestFit="1" customWidth="1"/>
    <col min="4357" max="4357" width="9.25" style="120" customWidth="1"/>
    <col min="4358" max="4358" width="9" style="120" bestFit="1" customWidth="1"/>
    <col min="4359" max="4359" width="9.375" style="120" customWidth="1"/>
    <col min="4360" max="4360" width="9" style="120" bestFit="1" customWidth="1"/>
    <col min="4361" max="4361" width="9.25" style="120" customWidth="1"/>
    <col min="4362" max="4362" width="9" style="120" customWidth="1"/>
    <col min="4363" max="4363" width="11.875" style="120" bestFit="1" customWidth="1"/>
    <col min="4364" max="4364" width="9" style="120" bestFit="1" customWidth="1"/>
    <col min="4365" max="4366" width="11.25" style="120" bestFit="1" customWidth="1"/>
    <col min="4367" max="4367" width="14.25" style="120" bestFit="1" customWidth="1"/>
    <col min="4368" max="4368" width="13" style="120" customWidth="1"/>
    <col min="4369" max="4369" width="11.25" style="120" bestFit="1" customWidth="1"/>
    <col min="4370" max="4370" width="8.875" style="120"/>
    <col min="4371" max="4371" width="10.25" style="120" bestFit="1" customWidth="1"/>
    <col min="4372" max="4377" width="8.875" style="120"/>
    <col min="4378" max="4378" width="11.875" style="120" bestFit="1" customWidth="1"/>
    <col min="4379" max="4379" width="8.875" style="120"/>
    <col min="4380" max="4381" width="11.25" style="120" bestFit="1" customWidth="1"/>
    <col min="4382" max="4382" width="11" style="120" bestFit="1" customWidth="1"/>
    <col min="4383" max="4383" width="13" style="120" bestFit="1" customWidth="1"/>
    <col min="4384" max="4384" width="12.75" style="120" bestFit="1" customWidth="1"/>
    <col min="4385" max="4608" width="8.875" style="120"/>
    <col min="4609" max="4609" width="26.25" style="120" bestFit="1" customWidth="1"/>
    <col min="4610" max="4610" width="30.75" style="120" bestFit="1" customWidth="1"/>
    <col min="4611" max="4611" width="9.25" style="120" customWidth="1"/>
    <col min="4612" max="4612" width="10.25" style="120" bestFit="1" customWidth="1"/>
    <col min="4613" max="4613" width="9.25" style="120" customWidth="1"/>
    <col min="4614" max="4614" width="9" style="120" bestFit="1" customWidth="1"/>
    <col min="4615" max="4615" width="9.375" style="120" customWidth="1"/>
    <col min="4616" max="4616" width="9" style="120" bestFit="1" customWidth="1"/>
    <col min="4617" max="4617" width="9.25" style="120" customWidth="1"/>
    <col min="4618" max="4618" width="9" style="120" customWidth="1"/>
    <col min="4619" max="4619" width="11.875" style="120" bestFit="1" customWidth="1"/>
    <col min="4620" max="4620" width="9" style="120" bestFit="1" customWidth="1"/>
    <col min="4621" max="4622" width="11.25" style="120" bestFit="1" customWidth="1"/>
    <col min="4623" max="4623" width="14.25" style="120" bestFit="1" customWidth="1"/>
    <col min="4624" max="4624" width="13" style="120" customWidth="1"/>
    <col min="4625" max="4625" width="11.25" style="120" bestFit="1" customWidth="1"/>
    <col min="4626" max="4626" width="8.875" style="120"/>
    <col min="4627" max="4627" width="10.25" style="120" bestFit="1" customWidth="1"/>
    <col min="4628" max="4633" width="8.875" style="120"/>
    <col min="4634" max="4634" width="11.875" style="120" bestFit="1" customWidth="1"/>
    <col min="4635" max="4635" width="8.875" style="120"/>
    <col min="4636" max="4637" width="11.25" style="120" bestFit="1" customWidth="1"/>
    <col min="4638" max="4638" width="11" style="120" bestFit="1" customWidth="1"/>
    <col min="4639" max="4639" width="13" style="120" bestFit="1" customWidth="1"/>
    <col min="4640" max="4640" width="12.75" style="120" bestFit="1" customWidth="1"/>
    <col min="4641" max="4864" width="8.875" style="120"/>
    <col min="4865" max="4865" width="26.25" style="120" bestFit="1" customWidth="1"/>
    <col min="4866" max="4866" width="30.75" style="120" bestFit="1" customWidth="1"/>
    <col min="4867" max="4867" width="9.25" style="120" customWidth="1"/>
    <col min="4868" max="4868" width="10.25" style="120" bestFit="1" customWidth="1"/>
    <col min="4869" max="4869" width="9.25" style="120" customWidth="1"/>
    <col min="4870" max="4870" width="9" style="120" bestFit="1" customWidth="1"/>
    <col min="4871" max="4871" width="9.375" style="120" customWidth="1"/>
    <col min="4872" max="4872" width="9" style="120" bestFit="1" customWidth="1"/>
    <col min="4873" max="4873" width="9.25" style="120" customWidth="1"/>
    <col min="4874" max="4874" width="9" style="120" customWidth="1"/>
    <col min="4875" max="4875" width="11.875" style="120" bestFit="1" customWidth="1"/>
    <col min="4876" max="4876" width="9" style="120" bestFit="1" customWidth="1"/>
    <col min="4877" max="4878" width="11.25" style="120" bestFit="1" customWidth="1"/>
    <col min="4879" max="4879" width="14.25" style="120" bestFit="1" customWidth="1"/>
    <col min="4880" max="4880" width="13" style="120" customWidth="1"/>
    <col min="4881" max="4881" width="11.25" style="120" bestFit="1" customWidth="1"/>
    <col min="4882" max="4882" width="8.875" style="120"/>
    <col min="4883" max="4883" width="10.25" style="120" bestFit="1" customWidth="1"/>
    <col min="4884" max="4889" width="8.875" style="120"/>
    <col min="4890" max="4890" width="11.875" style="120" bestFit="1" customWidth="1"/>
    <col min="4891" max="4891" width="8.875" style="120"/>
    <col min="4892" max="4893" width="11.25" style="120" bestFit="1" customWidth="1"/>
    <col min="4894" max="4894" width="11" style="120" bestFit="1" customWidth="1"/>
    <col min="4895" max="4895" width="13" style="120" bestFit="1" customWidth="1"/>
    <col min="4896" max="4896" width="12.75" style="120" bestFit="1" customWidth="1"/>
    <col min="4897" max="5120" width="8.875" style="120"/>
    <col min="5121" max="5121" width="26.25" style="120" bestFit="1" customWidth="1"/>
    <col min="5122" max="5122" width="30.75" style="120" bestFit="1" customWidth="1"/>
    <col min="5123" max="5123" width="9.25" style="120" customWidth="1"/>
    <col min="5124" max="5124" width="10.25" style="120" bestFit="1" customWidth="1"/>
    <col min="5125" max="5125" width="9.25" style="120" customWidth="1"/>
    <col min="5126" max="5126" width="9" style="120" bestFit="1" customWidth="1"/>
    <col min="5127" max="5127" width="9.375" style="120" customWidth="1"/>
    <col min="5128" max="5128" width="9" style="120" bestFit="1" customWidth="1"/>
    <col min="5129" max="5129" width="9.25" style="120" customWidth="1"/>
    <col min="5130" max="5130" width="9" style="120" customWidth="1"/>
    <col min="5131" max="5131" width="11.875" style="120" bestFit="1" customWidth="1"/>
    <col min="5132" max="5132" width="9" style="120" bestFit="1" customWidth="1"/>
    <col min="5133" max="5134" width="11.25" style="120" bestFit="1" customWidth="1"/>
    <col min="5135" max="5135" width="14.25" style="120" bestFit="1" customWidth="1"/>
    <col min="5136" max="5136" width="13" style="120" customWidth="1"/>
    <col min="5137" max="5137" width="11.25" style="120" bestFit="1" customWidth="1"/>
    <col min="5138" max="5138" width="8.875" style="120"/>
    <col min="5139" max="5139" width="10.25" style="120" bestFit="1" customWidth="1"/>
    <col min="5140" max="5145" width="8.875" style="120"/>
    <col min="5146" max="5146" width="11.875" style="120" bestFit="1" customWidth="1"/>
    <col min="5147" max="5147" width="8.875" style="120"/>
    <col min="5148" max="5149" width="11.25" style="120" bestFit="1" customWidth="1"/>
    <col min="5150" max="5150" width="11" style="120" bestFit="1" customWidth="1"/>
    <col min="5151" max="5151" width="13" style="120" bestFit="1" customWidth="1"/>
    <col min="5152" max="5152" width="12.75" style="120" bestFit="1" customWidth="1"/>
    <col min="5153" max="5376" width="8.875" style="120"/>
    <col min="5377" max="5377" width="26.25" style="120" bestFit="1" customWidth="1"/>
    <col min="5378" max="5378" width="30.75" style="120" bestFit="1" customWidth="1"/>
    <col min="5379" max="5379" width="9.25" style="120" customWidth="1"/>
    <col min="5380" max="5380" width="10.25" style="120" bestFit="1" customWidth="1"/>
    <col min="5381" max="5381" width="9.25" style="120" customWidth="1"/>
    <col min="5382" max="5382" width="9" style="120" bestFit="1" customWidth="1"/>
    <col min="5383" max="5383" width="9.375" style="120" customWidth="1"/>
    <col min="5384" max="5384" width="9" style="120" bestFit="1" customWidth="1"/>
    <col min="5385" max="5385" width="9.25" style="120" customWidth="1"/>
    <col min="5386" max="5386" width="9" style="120" customWidth="1"/>
    <col min="5387" max="5387" width="11.875" style="120" bestFit="1" customWidth="1"/>
    <col min="5388" max="5388" width="9" style="120" bestFit="1" customWidth="1"/>
    <col min="5389" max="5390" width="11.25" style="120" bestFit="1" customWidth="1"/>
    <col min="5391" max="5391" width="14.25" style="120" bestFit="1" customWidth="1"/>
    <col min="5392" max="5392" width="13" style="120" customWidth="1"/>
    <col min="5393" max="5393" width="11.25" style="120" bestFit="1" customWidth="1"/>
    <col min="5394" max="5394" width="8.875" style="120"/>
    <col min="5395" max="5395" width="10.25" style="120" bestFit="1" customWidth="1"/>
    <col min="5396" max="5401" width="8.875" style="120"/>
    <col min="5402" max="5402" width="11.875" style="120" bestFit="1" customWidth="1"/>
    <col min="5403" max="5403" width="8.875" style="120"/>
    <col min="5404" max="5405" width="11.25" style="120" bestFit="1" customWidth="1"/>
    <col min="5406" max="5406" width="11" style="120" bestFit="1" customWidth="1"/>
    <col min="5407" max="5407" width="13" style="120" bestFit="1" customWidth="1"/>
    <col min="5408" max="5408" width="12.75" style="120" bestFit="1" customWidth="1"/>
    <col min="5409" max="5632" width="8.875" style="120"/>
    <col min="5633" max="5633" width="26.25" style="120" bestFit="1" customWidth="1"/>
    <col min="5634" max="5634" width="30.75" style="120" bestFit="1" customWidth="1"/>
    <col min="5635" max="5635" width="9.25" style="120" customWidth="1"/>
    <col min="5636" max="5636" width="10.25" style="120" bestFit="1" customWidth="1"/>
    <col min="5637" max="5637" width="9.25" style="120" customWidth="1"/>
    <col min="5638" max="5638" width="9" style="120" bestFit="1" customWidth="1"/>
    <col min="5639" max="5639" width="9.375" style="120" customWidth="1"/>
    <col min="5640" max="5640" width="9" style="120" bestFit="1" customWidth="1"/>
    <col min="5641" max="5641" width="9.25" style="120" customWidth="1"/>
    <col min="5642" max="5642" width="9" style="120" customWidth="1"/>
    <col min="5643" max="5643" width="11.875" style="120" bestFit="1" customWidth="1"/>
    <col min="5644" max="5644" width="9" style="120" bestFit="1" customWidth="1"/>
    <col min="5645" max="5646" width="11.25" style="120" bestFit="1" customWidth="1"/>
    <col min="5647" max="5647" width="14.25" style="120" bestFit="1" customWidth="1"/>
    <col min="5648" max="5648" width="13" style="120" customWidth="1"/>
    <col min="5649" max="5649" width="11.25" style="120" bestFit="1" customWidth="1"/>
    <col min="5650" max="5650" width="8.875" style="120"/>
    <col min="5651" max="5651" width="10.25" style="120" bestFit="1" customWidth="1"/>
    <col min="5652" max="5657" width="8.875" style="120"/>
    <col min="5658" max="5658" width="11.875" style="120" bestFit="1" customWidth="1"/>
    <col min="5659" max="5659" width="8.875" style="120"/>
    <col min="5660" max="5661" width="11.25" style="120" bestFit="1" customWidth="1"/>
    <col min="5662" max="5662" width="11" style="120" bestFit="1" customWidth="1"/>
    <col min="5663" max="5663" width="13" style="120" bestFit="1" customWidth="1"/>
    <col min="5664" max="5664" width="12.75" style="120" bestFit="1" customWidth="1"/>
    <col min="5665" max="5888" width="8.875" style="120"/>
    <col min="5889" max="5889" width="26.25" style="120" bestFit="1" customWidth="1"/>
    <col min="5890" max="5890" width="30.75" style="120" bestFit="1" customWidth="1"/>
    <col min="5891" max="5891" width="9.25" style="120" customWidth="1"/>
    <col min="5892" max="5892" width="10.25" style="120" bestFit="1" customWidth="1"/>
    <col min="5893" max="5893" width="9.25" style="120" customWidth="1"/>
    <col min="5894" max="5894" width="9" style="120" bestFit="1" customWidth="1"/>
    <col min="5895" max="5895" width="9.375" style="120" customWidth="1"/>
    <col min="5896" max="5896" width="9" style="120" bestFit="1" customWidth="1"/>
    <col min="5897" max="5897" width="9.25" style="120" customWidth="1"/>
    <col min="5898" max="5898" width="9" style="120" customWidth="1"/>
    <col min="5899" max="5899" width="11.875" style="120" bestFit="1" customWidth="1"/>
    <col min="5900" max="5900" width="9" style="120" bestFit="1" customWidth="1"/>
    <col min="5901" max="5902" width="11.25" style="120" bestFit="1" customWidth="1"/>
    <col min="5903" max="5903" width="14.25" style="120" bestFit="1" customWidth="1"/>
    <col min="5904" max="5904" width="13" style="120" customWidth="1"/>
    <col min="5905" max="5905" width="11.25" style="120" bestFit="1" customWidth="1"/>
    <col min="5906" max="5906" width="8.875" style="120"/>
    <col min="5907" max="5907" width="10.25" style="120" bestFit="1" customWidth="1"/>
    <col min="5908" max="5913" width="8.875" style="120"/>
    <col min="5914" max="5914" width="11.875" style="120" bestFit="1" customWidth="1"/>
    <col min="5915" max="5915" width="8.875" style="120"/>
    <col min="5916" max="5917" width="11.25" style="120" bestFit="1" customWidth="1"/>
    <col min="5918" max="5918" width="11" style="120" bestFit="1" customWidth="1"/>
    <col min="5919" max="5919" width="13" style="120" bestFit="1" customWidth="1"/>
    <col min="5920" max="5920" width="12.75" style="120" bestFit="1" customWidth="1"/>
    <col min="5921" max="6144" width="8.875" style="120"/>
    <col min="6145" max="6145" width="26.25" style="120" bestFit="1" customWidth="1"/>
    <col min="6146" max="6146" width="30.75" style="120" bestFit="1" customWidth="1"/>
    <col min="6147" max="6147" width="9.25" style="120" customWidth="1"/>
    <col min="6148" max="6148" width="10.25" style="120" bestFit="1" customWidth="1"/>
    <col min="6149" max="6149" width="9.25" style="120" customWidth="1"/>
    <col min="6150" max="6150" width="9" style="120" bestFit="1" customWidth="1"/>
    <col min="6151" max="6151" width="9.375" style="120" customWidth="1"/>
    <col min="6152" max="6152" width="9" style="120" bestFit="1" customWidth="1"/>
    <col min="6153" max="6153" width="9.25" style="120" customWidth="1"/>
    <col min="6154" max="6154" width="9" style="120" customWidth="1"/>
    <col min="6155" max="6155" width="11.875" style="120" bestFit="1" customWidth="1"/>
    <col min="6156" max="6156" width="9" style="120" bestFit="1" customWidth="1"/>
    <col min="6157" max="6158" width="11.25" style="120" bestFit="1" customWidth="1"/>
    <col min="6159" max="6159" width="14.25" style="120" bestFit="1" customWidth="1"/>
    <col min="6160" max="6160" width="13" style="120" customWidth="1"/>
    <col min="6161" max="6161" width="11.25" style="120" bestFit="1" customWidth="1"/>
    <col min="6162" max="6162" width="8.875" style="120"/>
    <col min="6163" max="6163" width="10.25" style="120" bestFit="1" customWidth="1"/>
    <col min="6164" max="6169" width="8.875" style="120"/>
    <col min="6170" max="6170" width="11.875" style="120" bestFit="1" customWidth="1"/>
    <col min="6171" max="6171" width="8.875" style="120"/>
    <col min="6172" max="6173" width="11.25" style="120" bestFit="1" customWidth="1"/>
    <col min="6174" max="6174" width="11" style="120" bestFit="1" customWidth="1"/>
    <col min="6175" max="6175" width="13" style="120" bestFit="1" customWidth="1"/>
    <col min="6176" max="6176" width="12.75" style="120" bestFit="1" customWidth="1"/>
    <col min="6177" max="6400" width="8.875" style="120"/>
    <col min="6401" max="6401" width="26.25" style="120" bestFit="1" customWidth="1"/>
    <col min="6402" max="6402" width="30.75" style="120" bestFit="1" customWidth="1"/>
    <col min="6403" max="6403" width="9.25" style="120" customWidth="1"/>
    <col min="6404" max="6404" width="10.25" style="120" bestFit="1" customWidth="1"/>
    <col min="6405" max="6405" width="9.25" style="120" customWidth="1"/>
    <col min="6406" max="6406" width="9" style="120" bestFit="1" customWidth="1"/>
    <col min="6407" max="6407" width="9.375" style="120" customWidth="1"/>
    <col min="6408" max="6408" width="9" style="120" bestFit="1" customWidth="1"/>
    <col min="6409" max="6409" width="9.25" style="120" customWidth="1"/>
    <col min="6410" max="6410" width="9" style="120" customWidth="1"/>
    <col min="6411" max="6411" width="11.875" style="120" bestFit="1" customWidth="1"/>
    <col min="6412" max="6412" width="9" style="120" bestFit="1" customWidth="1"/>
    <col min="6413" max="6414" width="11.25" style="120" bestFit="1" customWidth="1"/>
    <col min="6415" max="6415" width="14.25" style="120" bestFit="1" customWidth="1"/>
    <col min="6416" max="6416" width="13" style="120" customWidth="1"/>
    <col min="6417" max="6417" width="11.25" style="120" bestFit="1" customWidth="1"/>
    <col min="6418" max="6418" width="8.875" style="120"/>
    <col min="6419" max="6419" width="10.25" style="120" bestFit="1" customWidth="1"/>
    <col min="6420" max="6425" width="8.875" style="120"/>
    <col min="6426" max="6426" width="11.875" style="120" bestFit="1" customWidth="1"/>
    <col min="6427" max="6427" width="8.875" style="120"/>
    <col min="6428" max="6429" width="11.25" style="120" bestFit="1" customWidth="1"/>
    <col min="6430" max="6430" width="11" style="120" bestFit="1" customWidth="1"/>
    <col min="6431" max="6431" width="13" style="120" bestFit="1" customWidth="1"/>
    <col min="6432" max="6432" width="12.75" style="120" bestFit="1" customWidth="1"/>
    <col min="6433" max="6656" width="8.875" style="120"/>
    <col min="6657" max="6657" width="26.25" style="120" bestFit="1" customWidth="1"/>
    <col min="6658" max="6658" width="30.75" style="120" bestFit="1" customWidth="1"/>
    <col min="6659" max="6659" width="9.25" style="120" customWidth="1"/>
    <col min="6660" max="6660" width="10.25" style="120" bestFit="1" customWidth="1"/>
    <col min="6661" max="6661" width="9.25" style="120" customWidth="1"/>
    <col min="6662" max="6662" width="9" style="120" bestFit="1" customWidth="1"/>
    <col min="6663" max="6663" width="9.375" style="120" customWidth="1"/>
    <col min="6664" max="6664" width="9" style="120" bestFit="1" customWidth="1"/>
    <col min="6665" max="6665" width="9.25" style="120" customWidth="1"/>
    <col min="6666" max="6666" width="9" style="120" customWidth="1"/>
    <col min="6667" max="6667" width="11.875" style="120" bestFit="1" customWidth="1"/>
    <col min="6668" max="6668" width="9" style="120" bestFit="1" customWidth="1"/>
    <col min="6669" max="6670" width="11.25" style="120" bestFit="1" customWidth="1"/>
    <col min="6671" max="6671" width="14.25" style="120" bestFit="1" customWidth="1"/>
    <col min="6672" max="6672" width="13" style="120" customWidth="1"/>
    <col min="6673" max="6673" width="11.25" style="120" bestFit="1" customWidth="1"/>
    <col min="6674" max="6674" width="8.875" style="120"/>
    <col min="6675" max="6675" width="10.25" style="120" bestFit="1" customWidth="1"/>
    <col min="6676" max="6681" width="8.875" style="120"/>
    <col min="6682" max="6682" width="11.875" style="120" bestFit="1" customWidth="1"/>
    <col min="6683" max="6683" width="8.875" style="120"/>
    <col min="6684" max="6685" width="11.25" style="120" bestFit="1" customWidth="1"/>
    <col min="6686" max="6686" width="11" style="120" bestFit="1" customWidth="1"/>
    <col min="6687" max="6687" width="13" style="120" bestFit="1" customWidth="1"/>
    <col min="6688" max="6688" width="12.75" style="120" bestFit="1" customWidth="1"/>
    <col min="6689" max="6912" width="8.875" style="120"/>
    <col min="6913" max="6913" width="26.25" style="120" bestFit="1" customWidth="1"/>
    <col min="6914" max="6914" width="30.75" style="120" bestFit="1" customWidth="1"/>
    <col min="6915" max="6915" width="9.25" style="120" customWidth="1"/>
    <col min="6916" max="6916" width="10.25" style="120" bestFit="1" customWidth="1"/>
    <col min="6917" max="6917" width="9.25" style="120" customWidth="1"/>
    <col min="6918" max="6918" width="9" style="120" bestFit="1" customWidth="1"/>
    <col min="6919" max="6919" width="9.375" style="120" customWidth="1"/>
    <col min="6920" max="6920" width="9" style="120" bestFit="1" customWidth="1"/>
    <col min="6921" max="6921" width="9.25" style="120" customWidth="1"/>
    <col min="6922" max="6922" width="9" style="120" customWidth="1"/>
    <col min="6923" max="6923" width="11.875" style="120" bestFit="1" customWidth="1"/>
    <col min="6924" max="6924" width="9" style="120" bestFit="1" customWidth="1"/>
    <col min="6925" max="6926" width="11.25" style="120" bestFit="1" customWidth="1"/>
    <col min="6927" max="6927" width="14.25" style="120" bestFit="1" customWidth="1"/>
    <col min="6928" max="6928" width="13" style="120" customWidth="1"/>
    <col min="6929" max="6929" width="11.25" style="120" bestFit="1" customWidth="1"/>
    <col min="6930" max="6930" width="8.875" style="120"/>
    <col min="6931" max="6931" width="10.25" style="120" bestFit="1" customWidth="1"/>
    <col min="6932" max="6937" width="8.875" style="120"/>
    <col min="6938" max="6938" width="11.875" style="120" bestFit="1" customWidth="1"/>
    <col min="6939" max="6939" width="8.875" style="120"/>
    <col min="6940" max="6941" width="11.25" style="120" bestFit="1" customWidth="1"/>
    <col min="6942" max="6942" width="11" style="120" bestFit="1" customWidth="1"/>
    <col min="6943" max="6943" width="13" style="120" bestFit="1" customWidth="1"/>
    <col min="6944" max="6944" width="12.75" style="120" bestFit="1" customWidth="1"/>
    <col min="6945" max="7168" width="8.875" style="120"/>
    <col min="7169" max="7169" width="26.25" style="120" bestFit="1" customWidth="1"/>
    <col min="7170" max="7170" width="30.75" style="120" bestFit="1" customWidth="1"/>
    <col min="7171" max="7171" width="9.25" style="120" customWidth="1"/>
    <col min="7172" max="7172" width="10.25" style="120" bestFit="1" customWidth="1"/>
    <col min="7173" max="7173" width="9.25" style="120" customWidth="1"/>
    <col min="7174" max="7174" width="9" style="120" bestFit="1" customWidth="1"/>
    <col min="7175" max="7175" width="9.375" style="120" customWidth="1"/>
    <col min="7176" max="7176" width="9" style="120" bestFit="1" customWidth="1"/>
    <col min="7177" max="7177" width="9.25" style="120" customWidth="1"/>
    <col min="7178" max="7178" width="9" style="120" customWidth="1"/>
    <col min="7179" max="7179" width="11.875" style="120" bestFit="1" customWidth="1"/>
    <col min="7180" max="7180" width="9" style="120" bestFit="1" customWidth="1"/>
    <col min="7181" max="7182" width="11.25" style="120" bestFit="1" customWidth="1"/>
    <col min="7183" max="7183" width="14.25" style="120" bestFit="1" customWidth="1"/>
    <col min="7184" max="7184" width="13" style="120" customWidth="1"/>
    <col min="7185" max="7185" width="11.25" style="120" bestFit="1" customWidth="1"/>
    <col min="7186" max="7186" width="8.875" style="120"/>
    <col min="7187" max="7187" width="10.25" style="120" bestFit="1" customWidth="1"/>
    <col min="7188" max="7193" width="8.875" style="120"/>
    <col min="7194" max="7194" width="11.875" style="120" bestFit="1" customWidth="1"/>
    <col min="7195" max="7195" width="8.875" style="120"/>
    <col min="7196" max="7197" width="11.25" style="120" bestFit="1" customWidth="1"/>
    <col min="7198" max="7198" width="11" style="120" bestFit="1" customWidth="1"/>
    <col min="7199" max="7199" width="13" style="120" bestFit="1" customWidth="1"/>
    <col min="7200" max="7200" width="12.75" style="120" bestFit="1" customWidth="1"/>
    <col min="7201" max="7424" width="8.875" style="120"/>
    <col min="7425" max="7425" width="26.25" style="120" bestFit="1" customWidth="1"/>
    <col min="7426" max="7426" width="30.75" style="120" bestFit="1" customWidth="1"/>
    <col min="7427" max="7427" width="9.25" style="120" customWidth="1"/>
    <col min="7428" max="7428" width="10.25" style="120" bestFit="1" customWidth="1"/>
    <col min="7429" max="7429" width="9.25" style="120" customWidth="1"/>
    <col min="7430" max="7430" width="9" style="120" bestFit="1" customWidth="1"/>
    <col min="7431" max="7431" width="9.375" style="120" customWidth="1"/>
    <col min="7432" max="7432" width="9" style="120" bestFit="1" customWidth="1"/>
    <col min="7433" max="7433" width="9.25" style="120" customWidth="1"/>
    <col min="7434" max="7434" width="9" style="120" customWidth="1"/>
    <col min="7435" max="7435" width="11.875" style="120" bestFit="1" customWidth="1"/>
    <col min="7436" max="7436" width="9" style="120" bestFit="1" customWidth="1"/>
    <col min="7437" max="7438" width="11.25" style="120" bestFit="1" customWidth="1"/>
    <col min="7439" max="7439" width="14.25" style="120" bestFit="1" customWidth="1"/>
    <col min="7440" max="7440" width="13" style="120" customWidth="1"/>
    <col min="7441" max="7441" width="11.25" style="120" bestFit="1" customWidth="1"/>
    <col min="7442" max="7442" width="8.875" style="120"/>
    <col min="7443" max="7443" width="10.25" style="120" bestFit="1" customWidth="1"/>
    <col min="7444" max="7449" width="8.875" style="120"/>
    <col min="7450" max="7450" width="11.875" style="120" bestFit="1" customWidth="1"/>
    <col min="7451" max="7451" width="8.875" style="120"/>
    <col min="7452" max="7453" width="11.25" style="120" bestFit="1" customWidth="1"/>
    <col min="7454" max="7454" width="11" style="120" bestFit="1" customWidth="1"/>
    <col min="7455" max="7455" width="13" style="120" bestFit="1" customWidth="1"/>
    <col min="7456" max="7456" width="12.75" style="120" bestFit="1" customWidth="1"/>
    <col min="7457" max="7680" width="8.875" style="120"/>
    <col min="7681" max="7681" width="26.25" style="120" bestFit="1" customWidth="1"/>
    <col min="7682" max="7682" width="30.75" style="120" bestFit="1" customWidth="1"/>
    <col min="7683" max="7683" width="9.25" style="120" customWidth="1"/>
    <col min="7684" max="7684" width="10.25" style="120" bestFit="1" customWidth="1"/>
    <col min="7685" max="7685" width="9.25" style="120" customWidth="1"/>
    <col min="7686" max="7686" width="9" style="120" bestFit="1" customWidth="1"/>
    <col min="7687" max="7687" width="9.375" style="120" customWidth="1"/>
    <col min="7688" max="7688" width="9" style="120" bestFit="1" customWidth="1"/>
    <col min="7689" max="7689" width="9.25" style="120" customWidth="1"/>
    <col min="7690" max="7690" width="9" style="120" customWidth="1"/>
    <col min="7691" max="7691" width="11.875" style="120" bestFit="1" customWidth="1"/>
    <col min="7692" max="7692" width="9" style="120" bestFit="1" customWidth="1"/>
    <col min="7693" max="7694" width="11.25" style="120" bestFit="1" customWidth="1"/>
    <col min="7695" max="7695" width="14.25" style="120" bestFit="1" customWidth="1"/>
    <col min="7696" max="7696" width="13" style="120" customWidth="1"/>
    <col min="7697" max="7697" width="11.25" style="120" bestFit="1" customWidth="1"/>
    <col min="7698" max="7698" width="8.875" style="120"/>
    <col min="7699" max="7699" width="10.25" style="120" bestFit="1" customWidth="1"/>
    <col min="7700" max="7705" width="8.875" style="120"/>
    <col min="7706" max="7706" width="11.875" style="120" bestFit="1" customWidth="1"/>
    <col min="7707" max="7707" width="8.875" style="120"/>
    <col min="7708" max="7709" width="11.25" style="120" bestFit="1" customWidth="1"/>
    <col min="7710" max="7710" width="11" style="120" bestFit="1" customWidth="1"/>
    <col min="7711" max="7711" width="13" style="120" bestFit="1" customWidth="1"/>
    <col min="7712" max="7712" width="12.75" style="120" bestFit="1" customWidth="1"/>
    <col min="7713" max="7936" width="8.875" style="120"/>
    <col min="7937" max="7937" width="26.25" style="120" bestFit="1" customWidth="1"/>
    <col min="7938" max="7938" width="30.75" style="120" bestFit="1" customWidth="1"/>
    <col min="7939" max="7939" width="9.25" style="120" customWidth="1"/>
    <col min="7940" max="7940" width="10.25" style="120" bestFit="1" customWidth="1"/>
    <col min="7941" max="7941" width="9.25" style="120" customWidth="1"/>
    <col min="7942" max="7942" width="9" style="120" bestFit="1" customWidth="1"/>
    <col min="7943" max="7943" width="9.375" style="120" customWidth="1"/>
    <col min="7944" max="7944" width="9" style="120" bestFit="1" customWidth="1"/>
    <col min="7945" max="7945" width="9.25" style="120" customWidth="1"/>
    <col min="7946" max="7946" width="9" style="120" customWidth="1"/>
    <col min="7947" max="7947" width="11.875" style="120" bestFit="1" customWidth="1"/>
    <col min="7948" max="7948" width="9" style="120" bestFit="1" customWidth="1"/>
    <col min="7949" max="7950" width="11.25" style="120" bestFit="1" customWidth="1"/>
    <col min="7951" max="7951" width="14.25" style="120" bestFit="1" customWidth="1"/>
    <col min="7952" max="7952" width="13" style="120" customWidth="1"/>
    <col min="7953" max="7953" width="11.25" style="120" bestFit="1" customWidth="1"/>
    <col min="7954" max="7954" width="8.875" style="120"/>
    <col min="7955" max="7955" width="10.25" style="120" bestFit="1" customWidth="1"/>
    <col min="7956" max="7961" width="8.875" style="120"/>
    <col min="7962" max="7962" width="11.875" style="120" bestFit="1" customWidth="1"/>
    <col min="7963" max="7963" width="8.875" style="120"/>
    <col min="7964" max="7965" width="11.25" style="120" bestFit="1" customWidth="1"/>
    <col min="7966" max="7966" width="11" style="120" bestFit="1" customWidth="1"/>
    <col min="7967" max="7967" width="13" style="120" bestFit="1" customWidth="1"/>
    <col min="7968" max="7968" width="12.75" style="120" bestFit="1" customWidth="1"/>
    <col min="7969" max="8192" width="8.875" style="120"/>
    <col min="8193" max="8193" width="26.25" style="120" bestFit="1" customWidth="1"/>
    <col min="8194" max="8194" width="30.75" style="120" bestFit="1" customWidth="1"/>
    <col min="8195" max="8195" width="9.25" style="120" customWidth="1"/>
    <col min="8196" max="8196" width="10.25" style="120" bestFit="1" customWidth="1"/>
    <col min="8197" max="8197" width="9.25" style="120" customWidth="1"/>
    <col min="8198" max="8198" width="9" style="120" bestFit="1" customWidth="1"/>
    <col min="8199" max="8199" width="9.375" style="120" customWidth="1"/>
    <col min="8200" max="8200" width="9" style="120" bestFit="1" customWidth="1"/>
    <col min="8201" max="8201" width="9.25" style="120" customWidth="1"/>
    <col min="8202" max="8202" width="9" style="120" customWidth="1"/>
    <col min="8203" max="8203" width="11.875" style="120" bestFit="1" customWidth="1"/>
    <col min="8204" max="8204" width="9" style="120" bestFit="1" customWidth="1"/>
    <col min="8205" max="8206" width="11.25" style="120" bestFit="1" customWidth="1"/>
    <col min="8207" max="8207" width="14.25" style="120" bestFit="1" customWidth="1"/>
    <col min="8208" max="8208" width="13" style="120" customWidth="1"/>
    <col min="8209" max="8209" width="11.25" style="120" bestFit="1" customWidth="1"/>
    <col min="8210" max="8210" width="8.875" style="120"/>
    <col min="8211" max="8211" width="10.25" style="120" bestFit="1" customWidth="1"/>
    <col min="8212" max="8217" width="8.875" style="120"/>
    <col min="8218" max="8218" width="11.875" style="120" bestFit="1" customWidth="1"/>
    <col min="8219" max="8219" width="8.875" style="120"/>
    <col min="8220" max="8221" width="11.25" style="120" bestFit="1" customWidth="1"/>
    <col min="8222" max="8222" width="11" style="120" bestFit="1" customWidth="1"/>
    <col min="8223" max="8223" width="13" style="120" bestFit="1" customWidth="1"/>
    <col min="8224" max="8224" width="12.75" style="120" bestFit="1" customWidth="1"/>
    <col min="8225" max="8448" width="8.875" style="120"/>
    <col min="8449" max="8449" width="26.25" style="120" bestFit="1" customWidth="1"/>
    <col min="8450" max="8450" width="30.75" style="120" bestFit="1" customWidth="1"/>
    <col min="8451" max="8451" width="9.25" style="120" customWidth="1"/>
    <col min="8452" max="8452" width="10.25" style="120" bestFit="1" customWidth="1"/>
    <col min="8453" max="8453" width="9.25" style="120" customWidth="1"/>
    <col min="8454" max="8454" width="9" style="120" bestFit="1" customWidth="1"/>
    <col min="8455" max="8455" width="9.375" style="120" customWidth="1"/>
    <col min="8456" max="8456" width="9" style="120" bestFit="1" customWidth="1"/>
    <col min="8457" max="8457" width="9.25" style="120" customWidth="1"/>
    <col min="8458" max="8458" width="9" style="120" customWidth="1"/>
    <col min="8459" max="8459" width="11.875" style="120" bestFit="1" customWidth="1"/>
    <col min="8460" max="8460" width="9" style="120" bestFit="1" customWidth="1"/>
    <col min="8461" max="8462" width="11.25" style="120" bestFit="1" customWidth="1"/>
    <col min="8463" max="8463" width="14.25" style="120" bestFit="1" customWidth="1"/>
    <col min="8464" max="8464" width="13" style="120" customWidth="1"/>
    <col min="8465" max="8465" width="11.25" style="120" bestFit="1" customWidth="1"/>
    <col min="8466" max="8466" width="8.875" style="120"/>
    <col min="8467" max="8467" width="10.25" style="120" bestFit="1" customWidth="1"/>
    <col min="8468" max="8473" width="8.875" style="120"/>
    <col min="8474" max="8474" width="11.875" style="120" bestFit="1" customWidth="1"/>
    <col min="8475" max="8475" width="8.875" style="120"/>
    <col min="8476" max="8477" width="11.25" style="120" bestFit="1" customWidth="1"/>
    <col min="8478" max="8478" width="11" style="120" bestFit="1" customWidth="1"/>
    <col min="8479" max="8479" width="13" style="120" bestFit="1" customWidth="1"/>
    <col min="8480" max="8480" width="12.75" style="120" bestFit="1" customWidth="1"/>
    <col min="8481" max="8704" width="8.875" style="120"/>
    <col min="8705" max="8705" width="26.25" style="120" bestFit="1" customWidth="1"/>
    <col min="8706" max="8706" width="30.75" style="120" bestFit="1" customWidth="1"/>
    <col min="8707" max="8707" width="9.25" style="120" customWidth="1"/>
    <col min="8708" max="8708" width="10.25" style="120" bestFit="1" customWidth="1"/>
    <col min="8709" max="8709" width="9.25" style="120" customWidth="1"/>
    <col min="8710" max="8710" width="9" style="120" bestFit="1" customWidth="1"/>
    <col min="8711" max="8711" width="9.375" style="120" customWidth="1"/>
    <col min="8712" max="8712" width="9" style="120" bestFit="1" customWidth="1"/>
    <col min="8713" max="8713" width="9.25" style="120" customWidth="1"/>
    <col min="8714" max="8714" width="9" style="120" customWidth="1"/>
    <col min="8715" max="8715" width="11.875" style="120" bestFit="1" customWidth="1"/>
    <col min="8716" max="8716" width="9" style="120" bestFit="1" customWidth="1"/>
    <col min="8717" max="8718" width="11.25" style="120" bestFit="1" customWidth="1"/>
    <col min="8719" max="8719" width="14.25" style="120" bestFit="1" customWidth="1"/>
    <col min="8720" max="8720" width="13" style="120" customWidth="1"/>
    <col min="8721" max="8721" width="11.25" style="120" bestFit="1" customWidth="1"/>
    <col min="8722" max="8722" width="8.875" style="120"/>
    <col min="8723" max="8723" width="10.25" style="120" bestFit="1" customWidth="1"/>
    <col min="8724" max="8729" width="8.875" style="120"/>
    <col min="8730" max="8730" width="11.875" style="120" bestFit="1" customWidth="1"/>
    <col min="8731" max="8731" width="8.875" style="120"/>
    <col min="8732" max="8733" width="11.25" style="120" bestFit="1" customWidth="1"/>
    <col min="8734" max="8734" width="11" style="120" bestFit="1" customWidth="1"/>
    <col min="8735" max="8735" width="13" style="120" bestFit="1" customWidth="1"/>
    <col min="8736" max="8736" width="12.75" style="120" bestFit="1" customWidth="1"/>
    <col min="8737" max="8960" width="8.875" style="120"/>
    <col min="8961" max="8961" width="26.25" style="120" bestFit="1" customWidth="1"/>
    <col min="8962" max="8962" width="30.75" style="120" bestFit="1" customWidth="1"/>
    <col min="8963" max="8963" width="9.25" style="120" customWidth="1"/>
    <col min="8964" max="8964" width="10.25" style="120" bestFit="1" customWidth="1"/>
    <col min="8965" max="8965" width="9.25" style="120" customWidth="1"/>
    <col min="8966" max="8966" width="9" style="120" bestFit="1" customWidth="1"/>
    <col min="8967" max="8967" width="9.375" style="120" customWidth="1"/>
    <col min="8968" max="8968" width="9" style="120" bestFit="1" customWidth="1"/>
    <col min="8969" max="8969" width="9.25" style="120" customWidth="1"/>
    <col min="8970" max="8970" width="9" style="120" customWidth="1"/>
    <col min="8971" max="8971" width="11.875" style="120" bestFit="1" customWidth="1"/>
    <col min="8972" max="8972" width="9" style="120" bestFit="1" customWidth="1"/>
    <col min="8973" max="8974" width="11.25" style="120" bestFit="1" customWidth="1"/>
    <col min="8975" max="8975" width="14.25" style="120" bestFit="1" customWidth="1"/>
    <col min="8976" max="8976" width="13" style="120" customWidth="1"/>
    <col min="8977" max="8977" width="11.25" style="120" bestFit="1" customWidth="1"/>
    <col min="8978" max="8978" width="8.875" style="120"/>
    <col min="8979" max="8979" width="10.25" style="120" bestFit="1" customWidth="1"/>
    <col min="8980" max="8985" width="8.875" style="120"/>
    <col min="8986" max="8986" width="11.875" style="120" bestFit="1" customWidth="1"/>
    <col min="8987" max="8987" width="8.875" style="120"/>
    <col min="8988" max="8989" width="11.25" style="120" bestFit="1" customWidth="1"/>
    <col min="8990" max="8990" width="11" style="120" bestFit="1" customWidth="1"/>
    <col min="8991" max="8991" width="13" style="120" bestFit="1" customWidth="1"/>
    <col min="8992" max="8992" width="12.75" style="120" bestFit="1" customWidth="1"/>
    <col min="8993" max="9216" width="8.875" style="120"/>
    <col min="9217" max="9217" width="26.25" style="120" bestFit="1" customWidth="1"/>
    <col min="9218" max="9218" width="30.75" style="120" bestFit="1" customWidth="1"/>
    <col min="9219" max="9219" width="9.25" style="120" customWidth="1"/>
    <col min="9220" max="9220" width="10.25" style="120" bestFit="1" customWidth="1"/>
    <col min="9221" max="9221" width="9.25" style="120" customWidth="1"/>
    <col min="9222" max="9222" width="9" style="120" bestFit="1" customWidth="1"/>
    <col min="9223" max="9223" width="9.375" style="120" customWidth="1"/>
    <col min="9224" max="9224" width="9" style="120" bestFit="1" customWidth="1"/>
    <col min="9225" max="9225" width="9.25" style="120" customWidth="1"/>
    <col min="9226" max="9226" width="9" style="120" customWidth="1"/>
    <col min="9227" max="9227" width="11.875" style="120" bestFit="1" customWidth="1"/>
    <col min="9228" max="9228" width="9" style="120" bestFit="1" customWidth="1"/>
    <col min="9229" max="9230" width="11.25" style="120" bestFit="1" customWidth="1"/>
    <col min="9231" max="9231" width="14.25" style="120" bestFit="1" customWidth="1"/>
    <col min="9232" max="9232" width="13" style="120" customWidth="1"/>
    <col min="9233" max="9233" width="11.25" style="120" bestFit="1" customWidth="1"/>
    <col min="9234" max="9234" width="8.875" style="120"/>
    <col min="9235" max="9235" width="10.25" style="120" bestFit="1" customWidth="1"/>
    <col min="9236" max="9241" width="8.875" style="120"/>
    <col min="9242" max="9242" width="11.875" style="120" bestFit="1" customWidth="1"/>
    <col min="9243" max="9243" width="8.875" style="120"/>
    <col min="9244" max="9245" width="11.25" style="120" bestFit="1" customWidth="1"/>
    <col min="9246" max="9246" width="11" style="120" bestFit="1" customWidth="1"/>
    <col min="9247" max="9247" width="13" style="120" bestFit="1" customWidth="1"/>
    <col min="9248" max="9248" width="12.75" style="120" bestFit="1" customWidth="1"/>
    <col min="9249" max="9472" width="8.875" style="120"/>
    <col min="9473" max="9473" width="26.25" style="120" bestFit="1" customWidth="1"/>
    <col min="9474" max="9474" width="30.75" style="120" bestFit="1" customWidth="1"/>
    <col min="9475" max="9475" width="9.25" style="120" customWidth="1"/>
    <col min="9476" max="9476" width="10.25" style="120" bestFit="1" customWidth="1"/>
    <col min="9477" max="9477" width="9.25" style="120" customWidth="1"/>
    <col min="9478" max="9478" width="9" style="120" bestFit="1" customWidth="1"/>
    <col min="9479" max="9479" width="9.375" style="120" customWidth="1"/>
    <col min="9480" max="9480" width="9" style="120" bestFit="1" customWidth="1"/>
    <col min="9481" max="9481" width="9.25" style="120" customWidth="1"/>
    <col min="9482" max="9482" width="9" style="120" customWidth="1"/>
    <col min="9483" max="9483" width="11.875" style="120" bestFit="1" customWidth="1"/>
    <col min="9484" max="9484" width="9" style="120" bestFit="1" customWidth="1"/>
    <col min="9485" max="9486" width="11.25" style="120" bestFit="1" customWidth="1"/>
    <col min="9487" max="9487" width="14.25" style="120" bestFit="1" customWidth="1"/>
    <col min="9488" max="9488" width="13" style="120" customWidth="1"/>
    <col min="9489" max="9489" width="11.25" style="120" bestFit="1" customWidth="1"/>
    <col min="9490" max="9490" width="8.875" style="120"/>
    <col min="9491" max="9491" width="10.25" style="120" bestFit="1" customWidth="1"/>
    <col min="9492" max="9497" width="8.875" style="120"/>
    <col min="9498" max="9498" width="11.875" style="120" bestFit="1" customWidth="1"/>
    <col min="9499" max="9499" width="8.875" style="120"/>
    <col min="9500" max="9501" width="11.25" style="120" bestFit="1" customWidth="1"/>
    <col min="9502" max="9502" width="11" style="120" bestFit="1" customWidth="1"/>
    <col min="9503" max="9503" width="13" style="120" bestFit="1" customWidth="1"/>
    <col min="9504" max="9504" width="12.75" style="120" bestFit="1" customWidth="1"/>
    <col min="9505" max="9728" width="8.875" style="120"/>
    <col min="9729" max="9729" width="26.25" style="120" bestFit="1" customWidth="1"/>
    <col min="9730" max="9730" width="30.75" style="120" bestFit="1" customWidth="1"/>
    <col min="9731" max="9731" width="9.25" style="120" customWidth="1"/>
    <col min="9732" max="9732" width="10.25" style="120" bestFit="1" customWidth="1"/>
    <col min="9733" max="9733" width="9.25" style="120" customWidth="1"/>
    <col min="9734" max="9734" width="9" style="120" bestFit="1" customWidth="1"/>
    <col min="9735" max="9735" width="9.375" style="120" customWidth="1"/>
    <col min="9736" max="9736" width="9" style="120" bestFit="1" customWidth="1"/>
    <col min="9737" max="9737" width="9.25" style="120" customWidth="1"/>
    <col min="9738" max="9738" width="9" style="120" customWidth="1"/>
    <col min="9739" max="9739" width="11.875" style="120" bestFit="1" customWidth="1"/>
    <col min="9740" max="9740" width="9" style="120" bestFit="1" customWidth="1"/>
    <col min="9741" max="9742" width="11.25" style="120" bestFit="1" customWidth="1"/>
    <col min="9743" max="9743" width="14.25" style="120" bestFit="1" customWidth="1"/>
    <col min="9744" max="9744" width="13" style="120" customWidth="1"/>
    <col min="9745" max="9745" width="11.25" style="120" bestFit="1" customWidth="1"/>
    <col min="9746" max="9746" width="8.875" style="120"/>
    <col min="9747" max="9747" width="10.25" style="120" bestFit="1" customWidth="1"/>
    <col min="9748" max="9753" width="8.875" style="120"/>
    <col min="9754" max="9754" width="11.875" style="120" bestFit="1" customWidth="1"/>
    <col min="9755" max="9755" width="8.875" style="120"/>
    <col min="9756" max="9757" width="11.25" style="120" bestFit="1" customWidth="1"/>
    <col min="9758" max="9758" width="11" style="120" bestFit="1" customWidth="1"/>
    <col min="9759" max="9759" width="13" style="120" bestFit="1" customWidth="1"/>
    <col min="9760" max="9760" width="12.75" style="120" bestFit="1" customWidth="1"/>
    <col min="9761" max="9984" width="8.875" style="120"/>
    <col min="9985" max="9985" width="26.25" style="120" bestFit="1" customWidth="1"/>
    <col min="9986" max="9986" width="30.75" style="120" bestFit="1" customWidth="1"/>
    <col min="9987" max="9987" width="9.25" style="120" customWidth="1"/>
    <col min="9988" max="9988" width="10.25" style="120" bestFit="1" customWidth="1"/>
    <col min="9989" max="9989" width="9.25" style="120" customWidth="1"/>
    <col min="9990" max="9990" width="9" style="120" bestFit="1" customWidth="1"/>
    <col min="9991" max="9991" width="9.375" style="120" customWidth="1"/>
    <col min="9992" max="9992" width="9" style="120" bestFit="1" customWidth="1"/>
    <col min="9993" max="9993" width="9.25" style="120" customWidth="1"/>
    <col min="9994" max="9994" width="9" style="120" customWidth="1"/>
    <col min="9995" max="9995" width="11.875" style="120" bestFit="1" customWidth="1"/>
    <col min="9996" max="9996" width="9" style="120" bestFit="1" customWidth="1"/>
    <col min="9997" max="9998" width="11.25" style="120" bestFit="1" customWidth="1"/>
    <col min="9999" max="9999" width="14.25" style="120" bestFit="1" customWidth="1"/>
    <col min="10000" max="10000" width="13" style="120" customWidth="1"/>
    <col min="10001" max="10001" width="11.25" style="120" bestFit="1" customWidth="1"/>
    <col min="10002" max="10002" width="8.875" style="120"/>
    <col min="10003" max="10003" width="10.25" style="120" bestFit="1" customWidth="1"/>
    <col min="10004" max="10009" width="8.875" style="120"/>
    <col min="10010" max="10010" width="11.875" style="120" bestFit="1" customWidth="1"/>
    <col min="10011" max="10011" width="8.875" style="120"/>
    <col min="10012" max="10013" width="11.25" style="120" bestFit="1" customWidth="1"/>
    <col min="10014" max="10014" width="11" style="120" bestFit="1" customWidth="1"/>
    <col min="10015" max="10015" width="13" style="120" bestFit="1" customWidth="1"/>
    <col min="10016" max="10016" width="12.75" style="120" bestFit="1" customWidth="1"/>
    <col min="10017" max="10240" width="8.875" style="120"/>
    <col min="10241" max="10241" width="26.25" style="120" bestFit="1" customWidth="1"/>
    <col min="10242" max="10242" width="30.75" style="120" bestFit="1" customWidth="1"/>
    <col min="10243" max="10243" width="9.25" style="120" customWidth="1"/>
    <col min="10244" max="10244" width="10.25" style="120" bestFit="1" customWidth="1"/>
    <col min="10245" max="10245" width="9.25" style="120" customWidth="1"/>
    <col min="10246" max="10246" width="9" style="120" bestFit="1" customWidth="1"/>
    <col min="10247" max="10247" width="9.375" style="120" customWidth="1"/>
    <col min="10248" max="10248" width="9" style="120" bestFit="1" customWidth="1"/>
    <col min="10249" max="10249" width="9.25" style="120" customWidth="1"/>
    <col min="10250" max="10250" width="9" style="120" customWidth="1"/>
    <col min="10251" max="10251" width="11.875" style="120" bestFit="1" customWidth="1"/>
    <col min="10252" max="10252" width="9" style="120" bestFit="1" customWidth="1"/>
    <col min="10253" max="10254" width="11.25" style="120" bestFit="1" customWidth="1"/>
    <col min="10255" max="10255" width="14.25" style="120" bestFit="1" customWidth="1"/>
    <col min="10256" max="10256" width="13" style="120" customWidth="1"/>
    <col min="10257" max="10257" width="11.25" style="120" bestFit="1" customWidth="1"/>
    <col min="10258" max="10258" width="8.875" style="120"/>
    <col min="10259" max="10259" width="10.25" style="120" bestFit="1" customWidth="1"/>
    <col min="10260" max="10265" width="8.875" style="120"/>
    <col min="10266" max="10266" width="11.875" style="120" bestFit="1" customWidth="1"/>
    <col min="10267" max="10267" width="8.875" style="120"/>
    <col min="10268" max="10269" width="11.25" style="120" bestFit="1" customWidth="1"/>
    <col min="10270" max="10270" width="11" style="120" bestFit="1" customWidth="1"/>
    <col min="10271" max="10271" width="13" style="120" bestFit="1" customWidth="1"/>
    <col min="10272" max="10272" width="12.75" style="120" bestFit="1" customWidth="1"/>
    <col min="10273" max="10496" width="8.875" style="120"/>
    <col min="10497" max="10497" width="26.25" style="120" bestFit="1" customWidth="1"/>
    <col min="10498" max="10498" width="30.75" style="120" bestFit="1" customWidth="1"/>
    <col min="10499" max="10499" width="9.25" style="120" customWidth="1"/>
    <col min="10500" max="10500" width="10.25" style="120" bestFit="1" customWidth="1"/>
    <col min="10501" max="10501" width="9.25" style="120" customWidth="1"/>
    <col min="10502" max="10502" width="9" style="120" bestFit="1" customWidth="1"/>
    <col min="10503" max="10503" width="9.375" style="120" customWidth="1"/>
    <col min="10504" max="10504" width="9" style="120" bestFit="1" customWidth="1"/>
    <col min="10505" max="10505" width="9.25" style="120" customWidth="1"/>
    <col min="10506" max="10506" width="9" style="120" customWidth="1"/>
    <col min="10507" max="10507" width="11.875" style="120" bestFit="1" customWidth="1"/>
    <col min="10508" max="10508" width="9" style="120" bestFit="1" customWidth="1"/>
    <col min="10509" max="10510" width="11.25" style="120" bestFit="1" customWidth="1"/>
    <col min="10511" max="10511" width="14.25" style="120" bestFit="1" customWidth="1"/>
    <col min="10512" max="10512" width="13" style="120" customWidth="1"/>
    <col min="10513" max="10513" width="11.25" style="120" bestFit="1" customWidth="1"/>
    <col min="10514" max="10514" width="8.875" style="120"/>
    <col min="10515" max="10515" width="10.25" style="120" bestFit="1" customWidth="1"/>
    <col min="10516" max="10521" width="8.875" style="120"/>
    <col min="10522" max="10522" width="11.875" style="120" bestFit="1" customWidth="1"/>
    <col min="10523" max="10523" width="8.875" style="120"/>
    <col min="10524" max="10525" width="11.25" style="120" bestFit="1" customWidth="1"/>
    <col min="10526" max="10526" width="11" style="120" bestFit="1" customWidth="1"/>
    <col min="10527" max="10527" width="13" style="120" bestFit="1" customWidth="1"/>
    <col min="10528" max="10528" width="12.75" style="120" bestFit="1" customWidth="1"/>
    <col min="10529" max="10752" width="8.875" style="120"/>
    <col min="10753" max="10753" width="26.25" style="120" bestFit="1" customWidth="1"/>
    <col min="10754" max="10754" width="30.75" style="120" bestFit="1" customWidth="1"/>
    <col min="10755" max="10755" width="9.25" style="120" customWidth="1"/>
    <col min="10756" max="10756" width="10.25" style="120" bestFit="1" customWidth="1"/>
    <col min="10757" max="10757" width="9.25" style="120" customWidth="1"/>
    <col min="10758" max="10758" width="9" style="120" bestFit="1" customWidth="1"/>
    <col min="10759" max="10759" width="9.375" style="120" customWidth="1"/>
    <col min="10760" max="10760" width="9" style="120" bestFit="1" customWidth="1"/>
    <col min="10761" max="10761" width="9.25" style="120" customWidth="1"/>
    <col min="10762" max="10762" width="9" style="120" customWidth="1"/>
    <col min="10763" max="10763" width="11.875" style="120" bestFit="1" customWidth="1"/>
    <col min="10764" max="10764" width="9" style="120" bestFit="1" customWidth="1"/>
    <col min="10765" max="10766" width="11.25" style="120" bestFit="1" customWidth="1"/>
    <col min="10767" max="10767" width="14.25" style="120" bestFit="1" customWidth="1"/>
    <col min="10768" max="10768" width="13" style="120" customWidth="1"/>
    <col min="10769" max="10769" width="11.25" style="120" bestFit="1" customWidth="1"/>
    <col min="10770" max="10770" width="8.875" style="120"/>
    <col min="10771" max="10771" width="10.25" style="120" bestFit="1" customWidth="1"/>
    <col min="10772" max="10777" width="8.875" style="120"/>
    <col min="10778" max="10778" width="11.875" style="120" bestFit="1" customWidth="1"/>
    <col min="10779" max="10779" width="8.875" style="120"/>
    <col min="10780" max="10781" width="11.25" style="120" bestFit="1" customWidth="1"/>
    <col min="10782" max="10782" width="11" style="120" bestFit="1" customWidth="1"/>
    <col min="10783" max="10783" width="13" style="120" bestFit="1" customWidth="1"/>
    <col min="10784" max="10784" width="12.75" style="120" bestFit="1" customWidth="1"/>
    <col min="10785" max="11008" width="8.875" style="120"/>
    <col min="11009" max="11009" width="26.25" style="120" bestFit="1" customWidth="1"/>
    <col min="11010" max="11010" width="30.75" style="120" bestFit="1" customWidth="1"/>
    <col min="11011" max="11011" width="9.25" style="120" customWidth="1"/>
    <col min="11012" max="11012" width="10.25" style="120" bestFit="1" customWidth="1"/>
    <col min="11013" max="11013" width="9.25" style="120" customWidth="1"/>
    <col min="11014" max="11014" width="9" style="120" bestFit="1" customWidth="1"/>
    <col min="11015" max="11015" width="9.375" style="120" customWidth="1"/>
    <col min="11016" max="11016" width="9" style="120" bestFit="1" customWidth="1"/>
    <col min="11017" max="11017" width="9.25" style="120" customWidth="1"/>
    <col min="11018" max="11018" width="9" style="120" customWidth="1"/>
    <col min="11019" max="11019" width="11.875" style="120" bestFit="1" customWidth="1"/>
    <col min="11020" max="11020" width="9" style="120" bestFit="1" customWidth="1"/>
    <col min="11021" max="11022" width="11.25" style="120" bestFit="1" customWidth="1"/>
    <col min="11023" max="11023" width="14.25" style="120" bestFit="1" customWidth="1"/>
    <col min="11024" max="11024" width="13" style="120" customWidth="1"/>
    <col min="11025" max="11025" width="11.25" style="120" bestFit="1" customWidth="1"/>
    <col min="11026" max="11026" width="8.875" style="120"/>
    <col min="11027" max="11027" width="10.25" style="120" bestFit="1" customWidth="1"/>
    <col min="11028" max="11033" width="8.875" style="120"/>
    <col min="11034" max="11034" width="11.875" style="120" bestFit="1" customWidth="1"/>
    <col min="11035" max="11035" width="8.875" style="120"/>
    <col min="11036" max="11037" width="11.25" style="120" bestFit="1" customWidth="1"/>
    <col min="11038" max="11038" width="11" style="120" bestFit="1" customWidth="1"/>
    <col min="11039" max="11039" width="13" style="120" bestFit="1" customWidth="1"/>
    <col min="11040" max="11040" width="12.75" style="120" bestFit="1" customWidth="1"/>
    <col min="11041" max="11264" width="8.875" style="120"/>
    <col min="11265" max="11265" width="26.25" style="120" bestFit="1" customWidth="1"/>
    <col min="11266" max="11266" width="30.75" style="120" bestFit="1" customWidth="1"/>
    <col min="11267" max="11267" width="9.25" style="120" customWidth="1"/>
    <col min="11268" max="11268" width="10.25" style="120" bestFit="1" customWidth="1"/>
    <col min="11269" max="11269" width="9.25" style="120" customWidth="1"/>
    <col min="11270" max="11270" width="9" style="120" bestFit="1" customWidth="1"/>
    <col min="11271" max="11271" width="9.375" style="120" customWidth="1"/>
    <col min="11272" max="11272" width="9" style="120" bestFit="1" customWidth="1"/>
    <col min="11273" max="11273" width="9.25" style="120" customWidth="1"/>
    <col min="11274" max="11274" width="9" style="120" customWidth="1"/>
    <col min="11275" max="11275" width="11.875" style="120" bestFit="1" customWidth="1"/>
    <col min="11276" max="11276" width="9" style="120" bestFit="1" customWidth="1"/>
    <col min="11277" max="11278" width="11.25" style="120" bestFit="1" customWidth="1"/>
    <col min="11279" max="11279" width="14.25" style="120" bestFit="1" customWidth="1"/>
    <col min="11280" max="11280" width="13" style="120" customWidth="1"/>
    <col min="11281" max="11281" width="11.25" style="120" bestFit="1" customWidth="1"/>
    <col min="11282" max="11282" width="8.875" style="120"/>
    <col min="11283" max="11283" width="10.25" style="120" bestFit="1" customWidth="1"/>
    <col min="11284" max="11289" width="8.875" style="120"/>
    <col min="11290" max="11290" width="11.875" style="120" bestFit="1" customWidth="1"/>
    <col min="11291" max="11291" width="8.875" style="120"/>
    <col min="11292" max="11293" width="11.25" style="120" bestFit="1" customWidth="1"/>
    <col min="11294" max="11294" width="11" style="120" bestFit="1" customWidth="1"/>
    <col min="11295" max="11295" width="13" style="120" bestFit="1" customWidth="1"/>
    <col min="11296" max="11296" width="12.75" style="120" bestFit="1" customWidth="1"/>
    <col min="11297" max="11520" width="8.875" style="120"/>
    <col min="11521" max="11521" width="26.25" style="120" bestFit="1" customWidth="1"/>
    <col min="11522" max="11522" width="30.75" style="120" bestFit="1" customWidth="1"/>
    <col min="11523" max="11523" width="9.25" style="120" customWidth="1"/>
    <col min="11524" max="11524" width="10.25" style="120" bestFit="1" customWidth="1"/>
    <col min="11525" max="11525" width="9.25" style="120" customWidth="1"/>
    <col min="11526" max="11526" width="9" style="120" bestFit="1" customWidth="1"/>
    <col min="11527" max="11527" width="9.375" style="120" customWidth="1"/>
    <col min="11528" max="11528" width="9" style="120" bestFit="1" customWidth="1"/>
    <col min="11529" max="11529" width="9.25" style="120" customWidth="1"/>
    <col min="11530" max="11530" width="9" style="120" customWidth="1"/>
    <col min="11531" max="11531" width="11.875" style="120" bestFit="1" customWidth="1"/>
    <col min="11532" max="11532" width="9" style="120" bestFit="1" customWidth="1"/>
    <col min="11533" max="11534" width="11.25" style="120" bestFit="1" customWidth="1"/>
    <col min="11535" max="11535" width="14.25" style="120" bestFit="1" customWidth="1"/>
    <col min="11536" max="11536" width="13" style="120" customWidth="1"/>
    <col min="11537" max="11537" width="11.25" style="120" bestFit="1" customWidth="1"/>
    <col min="11538" max="11538" width="8.875" style="120"/>
    <col min="11539" max="11539" width="10.25" style="120" bestFit="1" customWidth="1"/>
    <col min="11540" max="11545" width="8.875" style="120"/>
    <col min="11546" max="11546" width="11.875" style="120" bestFit="1" customWidth="1"/>
    <col min="11547" max="11547" width="8.875" style="120"/>
    <col min="11548" max="11549" width="11.25" style="120" bestFit="1" customWidth="1"/>
    <col min="11550" max="11550" width="11" style="120" bestFit="1" customWidth="1"/>
    <col min="11551" max="11551" width="13" style="120" bestFit="1" customWidth="1"/>
    <col min="11552" max="11552" width="12.75" style="120" bestFit="1" customWidth="1"/>
    <col min="11553" max="11776" width="8.875" style="120"/>
    <col min="11777" max="11777" width="26.25" style="120" bestFit="1" customWidth="1"/>
    <col min="11778" max="11778" width="30.75" style="120" bestFit="1" customWidth="1"/>
    <col min="11779" max="11779" width="9.25" style="120" customWidth="1"/>
    <col min="11780" max="11780" width="10.25" style="120" bestFit="1" customWidth="1"/>
    <col min="11781" max="11781" width="9.25" style="120" customWidth="1"/>
    <col min="11782" max="11782" width="9" style="120" bestFit="1" customWidth="1"/>
    <col min="11783" max="11783" width="9.375" style="120" customWidth="1"/>
    <col min="11784" max="11784" width="9" style="120" bestFit="1" customWidth="1"/>
    <col min="11785" max="11785" width="9.25" style="120" customWidth="1"/>
    <col min="11786" max="11786" width="9" style="120" customWidth="1"/>
    <col min="11787" max="11787" width="11.875" style="120" bestFit="1" customWidth="1"/>
    <col min="11788" max="11788" width="9" style="120" bestFit="1" customWidth="1"/>
    <col min="11789" max="11790" width="11.25" style="120" bestFit="1" customWidth="1"/>
    <col min="11791" max="11791" width="14.25" style="120" bestFit="1" customWidth="1"/>
    <col min="11792" max="11792" width="13" style="120" customWidth="1"/>
    <col min="11793" max="11793" width="11.25" style="120" bestFit="1" customWidth="1"/>
    <col min="11794" max="11794" width="8.875" style="120"/>
    <col min="11795" max="11795" width="10.25" style="120" bestFit="1" customWidth="1"/>
    <col min="11796" max="11801" width="8.875" style="120"/>
    <col min="11802" max="11802" width="11.875" style="120" bestFit="1" customWidth="1"/>
    <col min="11803" max="11803" width="8.875" style="120"/>
    <col min="11804" max="11805" width="11.25" style="120" bestFit="1" customWidth="1"/>
    <col min="11806" max="11806" width="11" style="120" bestFit="1" customWidth="1"/>
    <col min="11807" max="11807" width="13" style="120" bestFit="1" customWidth="1"/>
    <col min="11808" max="11808" width="12.75" style="120" bestFit="1" customWidth="1"/>
    <col min="11809" max="12032" width="8.875" style="120"/>
    <col min="12033" max="12033" width="26.25" style="120" bestFit="1" customWidth="1"/>
    <col min="12034" max="12034" width="30.75" style="120" bestFit="1" customWidth="1"/>
    <col min="12035" max="12035" width="9.25" style="120" customWidth="1"/>
    <col min="12036" max="12036" width="10.25" style="120" bestFit="1" customWidth="1"/>
    <col min="12037" max="12037" width="9.25" style="120" customWidth="1"/>
    <col min="12038" max="12038" width="9" style="120" bestFit="1" customWidth="1"/>
    <col min="12039" max="12039" width="9.375" style="120" customWidth="1"/>
    <col min="12040" max="12040" width="9" style="120" bestFit="1" customWidth="1"/>
    <col min="12041" max="12041" width="9.25" style="120" customWidth="1"/>
    <col min="12042" max="12042" width="9" style="120" customWidth="1"/>
    <col min="12043" max="12043" width="11.875" style="120" bestFit="1" customWidth="1"/>
    <col min="12044" max="12044" width="9" style="120" bestFit="1" customWidth="1"/>
    <col min="12045" max="12046" width="11.25" style="120" bestFit="1" customWidth="1"/>
    <col min="12047" max="12047" width="14.25" style="120" bestFit="1" customWidth="1"/>
    <col min="12048" max="12048" width="13" style="120" customWidth="1"/>
    <col min="12049" max="12049" width="11.25" style="120" bestFit="1" customWidth="1"/>
    <col min="12050" max="12050" width="8.875" style="120"/>
    <col min="12051" max="12051" width="10.25" style="120" bestFit="1" customWidth="1"/>
    <col min="12052" max="12057" width="8.875" style="120"/>
    <col min="12058" max="12058" width="11.875" style="120" bestFit="1" customWidth="1"/>
    <col min="12059" max="12059" width="8.875" style="120"/>
    <col min="12060" max="12061" width="11.25" style="120" bestFit="1" customWidth="1"/>
    <col min="12062" max="12062" width="11" style="120" bestFit="1" customWidth="1"/>
    <col min="12063" max="12063" width="13" style="120" bestFit="1" customWidth="1"/>
    <col min="12064" max="12064" width="12.75" style="120" bestFit="1" customWidth="1"/>
    <col min="12065" max="12288" width="8.875" style="120"/>
    <col min="12289" max="12289" width="26.25" style="120" bestFit="1" customWidth="1"/>
    <col min="12290" max="12290" width="30.75" style="120" bestFit="1" customWidth="1"/>
    <col min="12291" max="12291" width="9.25" style="120" customWidth="1"/>
    <col min="12292" max="12292" width="10.25" style="120" bestFit="1" customWidth="1"/>
    <col min="12293" max="12293" width="9.25" style="120" customWidth="1"/>
    <col min="12294" max="12294" width="9" style="120" bestFit="1" customWidth="1"/>
    <col min="12295" max="12295" width="9.375" style="120" customWidth="1"/>
    <col min="12296" max="12296" width="9" style="120" bestFit="1" customWidth="1"/>
    <col min="12297" max="12297" width="9.25" style="120" customWidth="1"/>
    <col min="12298" max="12298" width="9" style="120" customWidth="1"/>
    <col min="12299" max="12299" width="11.875" style="120" bestFit="1" customWidth="1"/>
    <col min="12300" max="12300" width="9" style="120" bestFit="1" customWidth="1"/>
    <col min="12301" max="12302" width="11.25" style="120" bestFit="1" customWidth="1"/>
    <col min="12303" max="12303" width="14.25" style="120" bestFit="1" customWidth="1"/>
    <col min="12304" max="12304" width="13" style="120" customWidth="1"/>
    <col min="12305" max="12305" width="11.25" style="120" bestFit="1" customWidth="1"/>
    <col min="12306" max="12306" width="8.875" style="120"/>
    <col min="12307" max="12307" width="10.25" style="120" bestFit="1" customWidth="1"/>
    <col min="12308" max="12313" width="8.875" style="120"/>
    <col min="12314" max="12314" width="11.875" style="120" bestFit="1" customWidth="1"/>
    <col min="12315" max="12315" width="8.875" style="120"/>
    <col min="12316" max="12317" width="11.25" style="120" bestFit="1" customWidth="1"/>
    <col min="12318" max="12318" width="11" style="120" bestFit="1" customWidth="1"/>
    <col min="12319" max="12319" width="13" style="120" bestFit="1" customWidth="1"/>
    <col min="12320" max="12320" width="12.75" style="120" bestFit="1" customWidth="1"/>
    <col min="12321" max="12544" width="8.875" style="120"/>
    <col min="12545" max="12545" width="26.25" style="120" bestFit="1" customWidth="1"/>
    <col min="12546" max="12546" width="30.75" style="120" bestFit="1" customWidth="1"/>
    <col min="12547" max="12547" width="9.25" style="120" customWidth="1"/>
    <col min="12548" max="12548" width="10.25" style="120" bestFit="1" customWidth="1"/>
    <col min="12549" max="12549" width="9.25" style="120" customWidth="1"/>
    <col min="12550" max="12550" width="9" style="120" bestFit="1" customWidth="1"/>
    <col min="12551" max="12551" width="9.375" style="120" customWidth="1"/>
    <col min="12552" max="12552" width="9" style="120" bestFit="1" customWidth="1"/>
    <col min="12553" max="12553" width="9.25" style="120" customWidth="1"/>
    <col min="12554" max="12554" width="9" style="120" customWidth="1"/>
    <col min="12555" max="12555" width="11.875" style="120" bestFit="1" customWidth="1"/>
    <col min="12556" max="12556" width="9" style="120" bestFit="1" customWidth="1"/>
    <col min="12557" max="12558" width="11.25" style="120" bestFit="1" customWidth="1"/>
    <col min="12559" max="12559" width="14.25" style="120" bestFit="1" customWidth="1"/>
    <col min="12560" max="12560" width="13" style="120" customWidth="1"/>
    <col min="12561" max="12561" width="11.25" style="120" bestFit="1" customWidth="1"/>
    <col min="12562" max="12562" width="8.875" style="120"/>
    <col min="12563" max="12563" width="10.25" style="120" bestFit="1" customWidth="1"/>
    <col min="12564" max="12569" width="8.875" style="120"/>
    <col min="12570" max="12570" width="11.875" style="120" bestFit="1" customWidth="1"/>
    <col min="12571" max="12571" width="8.875" style="120"/>
    <col min="12572" max="12573" width="11.25" style="120" bestFit="1" customWidth="1"/>
    <col min="12574" max="12574" width="11" style="120" bestFit="1" customWidth="1"/>
    <col min="12575" max="12575" width="13" style="120" bestFit="1" customWidth="1"/>
    <col min="12576" max="12576" width="12.75" style="120" bestFit="1" customWidth="1"/>
    <col min="12577" max="12800" width="8.875" style="120"/>
    <col min="12801" max="12801" width="26.25" style="120" bestFit="1" customWidth="1"/>
    <col min="12802" max="12802" width="30.75" style="120" bestFit="1" customWidth="1"/>
    <col min="12803" max="12803" width="9.25" style="120" customWidth="1"/>
    <col min="12804" max="12804" width="10.25" style="120" bestFit="1" customWidth="1"/>
    <col min="12805" max="12805" width="9.25" style="120" customWidth="1"/>
    <col min="12806" max="12806" width="9" style="120" bestFit="1" customWidth="1"/>
    <col min="12807" max="12807" width="9.375" style="120" customWidth="1"/>
    <col min="12808" max="12808" width="9" style="120" bestFit="1" customWidth="1"/>
    <col min="12809" max="12809" width="9.25" style="120" customWidth="1"/>
    <col min="12810" max="12810" width="9" style="120" customWidth="1"/>
    <col min="12811" max="12811" width="11.875" style="120" bestFit="1" customWidth="1"/>
    <col min="12812" max="12812" width="9" style="120" bestFit="1" customWidth="1"/>
    <col min="12813" max="12814" width="11.25" style="120" bestFit="1" customWidth="1"/>
    <col min="12815" max="12815" width="14.25" style="120" bestFit="1" customWidth="1"/>
    <col min="12816" max="12816" width="13" style="120" customWidth="1"/>
    <col min="12817" max="12817" width="11.25" style="120" bestFit="1" customWidth="1"/>
    <col min="12818" max="12818" width="8.875" style="120"/>
    <col min="12819" max="12819" width="10.25" style="120" bestFit="1" customWidth="1"/>
    <col min="12820" max="12825" width="8.875" style="120"/>
    <col min="12826" max="12826" width="11.875" style="120" bestFit="1" customWidth="1"/>
    <col min="12827" max="12827" width="8.875" style="120"/>
    <col min="12828" max="12829" width="11.25" style="120" bestFit="1" customWidth="1"/>
    <col min="12830" max="12830" width="11" style="120" bestFit="1" customWidth="1"/>
    <col min="12831" max="12831" width="13" style="120" bestFit="1" customWidth="1"/>
    <col min="12832" max="12832" width="12.75" style="120" bestFit="1" customWidth="1"/>
    <col min="12833" max="13056" width="8.875" style="120"/>
    <col min="13057" max="13057" width="26.25" style="120" bestFit="1" customWidth="1"/>
    <col min="13058" max="13058" width="30.75" style="120" bestFit="1" customWidth="1"/>
    <col min="13059" max="13059" width="9.25" style="120" customWidth="1"/>
    <col min="13060" max="13060" width="10.25" style="120" bestFit="1" customWidth="1"/>
    <col min="13061" max="13061" width="9.25" style="120" customWidth="1"/>
    <col min="13062" max="13062" width="9" style="120" bestFit="1" customWidth="1"/>
    <col min="13063" max="13063" width="9.375" style="120" customWidth="1"/>
    <col min="13064" max="13064" width="9" style="120" bestFit="1" customWidth="1"/>
    <col min="13065" max="13065" width="9.25" style="120" customWidth="1"/>
    <col min="13066" max="13066" width="9" style="120" customWidth="1"/>
    <col min="13067" max="13067" width="11.875" style="120" bestFit="1" customWidth="1"/>
    <col min="13068" max="13068" width="9" style="120" bestFit="1" customWidth="1"/>
    <col min="13069" max="13070" width="11.25" style="120" bestFit="1" customWidth="1"/>
    <col min="13071" max="13071" width="14.25" style="120" bestFit="1" customWidth="1"/>
    <col min="13072" max="13072" width="13" style="120" customWidth="1"/>
    <col min="13073" max="13073" width="11.25" style="120" bestFit="1" customWidth="1"/>
    <col min="13074" max="13074" width="8.875" style="120"/>
    <col min="13075" max="13075" width="10.25" style="120" bestFit="1" customWidth="1"/>
    <col min="13076" max="13081" width="8.875" style="120"/>
    <col min="13082" max="13082" width="11.875" style="120" bestFit="1" customWidth="1"/>
    <col min="13083" max="13083" width="8.875" style="120"/>
    <col min="13084" max="13085" width="11.25" style="120" bestFit="1" customWidth="1"/>
    <col min="13086" max="13086" width="11" style="120" bestFit="1" customWidth="1"/>
    <col min="13087" max="13087" width="13" style="120" bestFit="1" customWidth="1"/>
    <col min="13088" max="13088" width="12.75" style="120" bestFit="1" customWidth="1"/>
    <col min="13089" max="13312" width="8.875" style="120"/>
    <col min="13313" max="13313" width="26.25" style="120" bestFit="1" customWidth="1"/>
    <col min="13314" max="13314" width="30.75" style="120" bestFit="1" customWidth="1"/>
    <col min="13315" max="13315" width="9.25" style="120" customWidth="1"/>
    <col min="13316" max="13316" width="10.25" style="120" bestFit="1" customWidth="1"/>
    <col min="13317" max="13317" width="9.25" style="120" customWidth="1"/>
    <col min="13318" max="13318" width="9" style="120" bestFit="1" customWidth="1"/>
    <col min="13319" max="13319" width="9.375" style="120" customWidth="1"/>
    <col min="13320" max="13320" width="9" style="120" bestFit="1" customWidth="1"/>
    <col min="13321" max="13321" width="9.25" style="120" customWidth="1"/>
    <col min="13322" max="13322" width="9" style="120" customWidth="1"/>
    <col min="13323" max="13323" width="11.875" style="120" bestFit="1" customWidth="1"/>
    <col min="13324" max="13324" width="9" style="120" bestFit="1" customWidth="1"/>
    <col min="13325" max="13326" width="11.25" style="120" bestFit="1" customWidth="1"/>
    <col min="13327" max="13327" width="14.25" style="120" bestFit="1" customWidth="1"/>
    <col min="13328" max="13328" width="13" style="120" customWidth="1"/>
    <col min="13329" max="13329" width="11.25" style="120" bestFit="1" customWidth="1"/>
    <col min="13330" max="13330" width="8.875" style="120"/>
    <col min="13331" max="13331" width="10.25" style="120" bestFit="1" customWidth="1"/>
    <col min="13332" max="13337" width="8.875" style="120"/>
    <col min="13338" max="13338" width="11.875" style="120" bestFit="1" customWidth="1"/>
    <col min="13339" max="13339" width="8.875" style="120"/>
    <col min="13340" max="13341" width="11.25" style="120" bestFit="1" customWidth="1"/>
    <col min="13342" max="13342" width="11" style="120" bestFit="1" customWidth="1"/>
    <col min="13343" max="13343" width="13" style="120" bestFit="1" customWidth="1"/>
    <col min="13344" max="13344" width="12.75" style="120" bestFit="1" customWidth="1"/>
    <col min="13345" max="13568" width="8.875" style="120"/>
    <col min="13569" max="13569" width="26.25" style="120" bestFit="1" customWidth="1"/>
    <col min="13570" max="13570" width="30.75" style="120" bestFit="1" customWidth="1"/>
    <col min="13571" max="13571" width="9.25" style="120" customWidth="1"/>
    <col min="13572" max="13572" width="10.25" style="120" bestFit="1" customWidth="1"/>
    <col min="13573" max="13573" width="9.25" style="120" customWidth="1"/>
    <col min="13574" max="13574" width="9" style="120" bestFit="1" customWidth="1"/>
    <col min="13575" max="13575" width="9.375" style="120" customWidth="1"/>
    <col min="13576" max="13576" width="9" style="120" bestFit="1" customWidth="1"/>
    <col min="13577" max="13577" width="9.25" style="120" customWidth="1"/>
    <col min="13578" max="13578" width="9" style="120" customWidth="1"/>
    <col min="13579" max="13579" width="11.875" style="120" bestFit="1" customWidth="1"/>
    <col min="13580" max="13580" width="9" style="120" bestFit="1" customWidth="1"/>
    <col min="13581" max="13582" width="11.25" style="120" bestFit="1" customWidth="1"/>
    <col min="13583" max="13583" width="14.25" style="120" bestFit="1" customWidth="1"/>
    <col min="13584" max="13584" width="13" style="120" customWidth="1"/>
    <col min="13585" max="13585" width="11.25" style="120" bestFit="1" customWidth="1"/>
    <col min="13586" max="13586" width="8.875" style="120"/>
    <col min="13587" max="13587" width="10.25" style="120" bestFit="1" customWidth="1"/>
    <col min="13588" max="13593" width="8.875" style="120"/>
    <col min="13594" max="13594" width="11.875" style="120" bestFit="1" customWidth="1"/>
    <col min="13595" max="13595" width="8.875" style="120"/>
    <col min="13596" max="13597" width="11.25" style="120" bestFit="1" customWidth="1"/>
    <col min="13598" max="13598" width="11" style="120" bestFit="1" customWidth="1"/>
    <col min="13599" max="13599" width="13" style="120" bestFit="1" customWidth="1"/>
    <col min="13600" max="13600" width="12.75" style="120" bestFit="1" customWidth="1"/>
    <col min="13601" max="13824" width="8.875" style="120"/>
    <col min="13825" max="13825" width="26.25" style="120" bestFit="1" customWidth="1"/>
    <col min="13826" max="13826" width="30.75" style="120" bestFit="1" customWidth="1"/>
    <col min="13827" max="13827" width="9.25" style="120" customWidth="1"/>
    <col min="13828" max="13828" width="10.25" style="120" bestFit="1" customWidth="1"/>
    <col min="13829" max="13829" width="9.25" style="120" customWidth="1"/>
    <col min="13830" max="13830" width="9" style="120" bestFit="1" customWidth="1"/>
    <col min="13831" max="13831" width="9.375" style="120" customWidth="1"/>
    <col min="13832" max="13832" width="9" style="120" bestFit="1" customWidth="1"/>
    <col min="13833" max="13833" width="9.25" style="120" customWidth="1"/>
    <col min="13834" max="13834" width="9" style="120" customWidth="1"/>
    <col min="13835" max="13835" width="11.875" style="120" bestFit="1" customWidth="1"/>
    <col min="13836" max="13836" width="9" style="120" bestFit="1" customWidth="1"/>
    <col min="13837" max="13838" width="11.25" style="120" bestFit="1" customWidth="1"/>
    <col min="13839" max="13839" width="14.25" style="120" bestFit="1" customWidth="1"/>
    <col min="13840" max="13840" width="13" style="120" customWidth="1"/>
    <col min="13841" max="13841" width="11.25" style="120" bestFit="1" customWidth="1"/>
    <col min="13842" max="13842" width="8.875" style="120"/>
    <col min="13843" max="13843" width="10.25" style="120" bestFit="1" customWidth="1"/>
    <col min="13844" max="13849" width="8.875" style="120"/>
    <col min="13850" max="13850" width="11.875" style="120" bestFit="1" customWidth="1"/>
    <col min="13851" max="13851" width="8.875" style="120"/>
    <col min="13852" max="13853" width="11.25" style="120" bestFit="1" customWidth="1"/>
    <col min="13854" max="13854" width="11" style="120" bestFit="1" customWidth="1"/>
    <col min="13855" max="13855" width="13" style="120" bestFit="1" customWidth="1"/>
    <col min="13856" max="13856" width="12.75" style="120" bestFit="1" customWidth="1"/>
    <col min="13857" max="14080" width="8.875" style="120"/>
    <col min="14081" max="14081" width="26.25" style="120" bestFit="1" customWidth="1"/>
    <col min="14082" max="14082" width="30.75" style="120" bestFit="1" customWidth="1"/>
    <col min="14083" max="14083" width="9.25" style="120" customWidth="1"/>
    <col min="14084" max="14084" width="10.25" style="120" bestFit="1" customWidth="1"/>
    <col min="14085" max="14085" width="9.25" style="120" customWidth="1"/>
    <col min="14086" max="14086" width="9" style="120" bestFit="1" customWidth="1"/>
    <col min="14087" max="14087" width="9.375" style="120" customWidth="1"/>
    <col min="14088" max="14088" width="9" style="120" bestFit="1" customWidth="1"/>
    <col min="14089" max="14089" width="9.25" style="120" customWidth="1"/>
    <col min="14090" max="14090" width="9" style="120" customWidth="1"/>
    <col min="14091" max="14091" width="11.875" style="120" bestFit="1" customWidth="1"/>
    <col min="14092" max="14092" width="9" style="120" bestFit="1" customWidth="1"/>
    <col min="14093" max="14094" width="11.25" style="120" bestFit="1" customWidth="1"/>
    <col min="14095" max="14095" width="14.25" style="120" bestFit="1" customWidth="1"/>
    <col min="14096" max="14096" width="13" style="120" customWidth="1"/>
    <col min="14097" max="14097" width="11.25" style="120" bestFit="1" customWidth="1"/>
    <col min="14098" max="14098" width="8.875" style="120"/>
    <col min="14099" max="14099" width="10.25" style="120" bestFit="1" customWidth="1"/>
    <col min="14100" max="14105" width="8.875" style="120"/>
    <col min="14106" max="14106" width="11.875" style="120" bestFit="1" customWidth="1"/>
    <col min="14107" max="14107" width="8.875" style="120"/>
    <col min="14108" max="14109" width="11.25" style="120" bestFit="1" customWidth="1"/>
    <col min="14110" max="14110" width="11" style="120" bestFit="1" customWidth="1"/>
    <col min="14111" max="14111" width="13" style="120" bestFit="1" customWidth="1"/>
    <col min="14112" max="14112" width="12.75" style="120" bestFit="1" customWidth="1"/>
    <col min="14113" max="14336" width="8.875" style="120"/>
    <col min="14337" max="14337" width="26.25" style="120" bestFit="1" customWidth="1"/>
    <col min="14338" max="14338" width="30.75" style="120" bestFit="1" customWidth="1"/>
    <col min="14339" max="14339" width="9.25" style="120" customWidth="1"/>
    <col min="14340" max="14340" width="10.25" style="120" bestFit="1" customWidth="1"/>
    <col min="14341" max="14341" width="9.25" style="120" customWidth="1"/>
    <col min="14342" max="14342" width="9" style="120" bestFit="1" customWidth="1"/>
    <col min="14343" max="14343" width="9.375" style="120" customWidth="1"/>
    <col min="14344" max="14344" width="9" style="120" bestFit="1" customWidth="1"/>
    <col min="14345" max="14345" width="9.25" style="120" customWidth="1"/>
    <col min="14346" max="14346" width="9" style="120" customWidth="1"/>
    <col min="14347" max="14347" width="11.875" style="120" bestFit="1" customWidth="1"/>
    <col min="14348" max="14348" width="9" style="120" bestFit="1" customWidth="1"/>
    <col min="14349" max="14350" width="11.25" style="120" bestFit="1" customWidth="1"/>
    <col min="14351" max="14351" width="14.25" style="120" bestFit="1" customWidth="1"/>
    <col min="14352" max="14352" width="13" style="120" customWidth="1"/>
    <col min="14353" max="14353" width="11.25" style="120" bestFit="1" customWidth="1"/>
    <col min="14354" max="14354" width="8.875" style="120"/>
    <col min="14355" max="14355" width="10.25" style="120" bestFit="1" customWidth="1"/>
    <col min="14356" max="14361" width="8.875" style="120"/>
    <col min="14362" max="14362" width="11.875" style="120" bestFit="1" customWidth="1"/>
    <col min="14363" max="14363" width="8.875" style="120"/>
    <col min="14364" max="14365" width="11.25" style="120" bestFit="1" customWidth="1"/>
    <col min="14366" max="14366" width="11" style="120" bestFit="1" customWidth="1"/>
    <col min="14367" max="14367" width="13" style="120" bestFit="1" customWidth="1"/>
    <col min="14368" max="14368" width="12.75" style="120" bestFit="1" customWidth="1"/>
    <col min="14369" max="14592" width="8.875" style="120"/>
    <col min="14593" max="14593" width="26.25" style="120" bestFit="1" customWidth="1"/>
    <col min="14594" max="14594" width="30.75" style="120" bestFit="1" customWidth="1"/>
    <col min="14595" max="14595" width="9.25" style="120" customWidth="1"/>
    <col min="14596" max="14596" width="10.25" style="120" bestFit="1" customWidth="1"/>
    <col min="14597" max="14597" width="9.25" style="120" customWidth="1"/>
    <col min="14598" max="14598" width="9" style="120" bestFit="1" customWidth="1"/>
    <col min="14599" max="14599" width="9.375" style="120" customWidth="1"/>
    <col min="14600" max="14600" width="9" style="120" bestFit="1" customWidth="1"/>
    <col min="14601" max="14601" width="9.25" style="120" customWidth="1"/>
    <col min="14602" max="14602" width="9" style="120" customWidth="1"/>
    <col min="14603" max="14603" width="11.875" style="120" bestFit="1" customWidth="1"/>
    <col min="14604" max="14604" width="9" style="120" bestFit="1" customWidth="1"/>
    <col min="14605" max="14606" width="11.25" style="120" bestFit="1" customWidth="1"/>
    <col min="14607" max="14607" width="14.25" style="120" bestFit="1" customWidth="1"/>
    <col min="14608" max="14608" width="13" style="120" customWidth="1"/>
    <col min="14609" max="14609" width="11.25" style="120" bestFit="1" customWidth="1"/>
    <col min="14610" max="14610" width="8.875" style="120"/>
    <col min="14611" max="14611" width="10.25" style="120" bestFit="1" customWidth="1"/>
    <col min="14612" max="14617" width="8.875" style="120"/>
    <col min="14618" max="14618" width="11.875" style="120" bestFit="1" customWidth="1"/>
    <col min="14619" max="14619" width="8.875" style="120"/>
    <col min="14620" max="14621" width="11.25" style="120" bestFit="1" customWidth="1"/>
    <col min="14622" max="14622" width="11" style="120" bestFit="1" customWidth="1"/>
    <col min="14623" max="14623" width="13" style="120" bestFit="1" customWidth="1"/>
    <col min="14624" max="14624" width="12.75" style="120" bestFit="1" customWidth="1"/>
    <col min="14625" max="14848" width="8.875" style="120"/>
    <col min="14849" max="14849" width="26.25" style="120" bestFit="1" customWidth="1"/>
    <col min="14850" max="14850" width="30.75" style="120" bestFit="1" customWidth="1"/>
    <col min="14851" max="14851" width="9.25" style="120" customWidth="1"/>
    <col min="14852" max="14852" width="10.25" style="120" bestFit="1" customWidth="1"/>
    <col min="14853" max="14853" width="9.25" style="120" customWidth="1"/>
    <col min="14854" max="14854" width="9" style="120" bestFit="1" customWidth="1"/>
    <col min="14855" max="14855" width="9.375" style="120" customWidth="1"/>
    <col min="14856" max="14856" width="9" style="120" bestFit="1" customWidth="1"/>
    <col min="14857" max="14857" width="9.25" style="120" customWidth="1"/>
    <col min="14858" max="14858" width="9" style="120" customWidth="1"/>
    <col min="14859" max="14859" width="11.875" style="120" bestFit="1" customWidth="1"/>
    <col min="14860" max="14860" width="9" style="120" bestFit="1" customWidth="1"/>
    <col min="14861" max="14862" width="11.25" style="120" bestFit="1" customWidth="1"/>
    <col min="14863" max="14863" width="14.25" style="120" bestFit="1" customWidth="1"/>
    <col min="14864" max="14864" width="13" style="120" customWidth="1"/>
    <col min="14865" max="14865" width="11.25" style="120" bestFit="1" customWidth="1"/>
    <col min="14866" max="14866" width="8.875" style="120"/>
    <col min="14867" max="14867" width="10.25" style="120" bestFit="1" customWidth="1"/>
    <col min="14868" max="14873" width="8.875" style="120"/>
    <col min="14874" max="14874" width="11.875" style="120" bestFit="1" customWidth="1"/>
    <col min="14875" max="14875" width="8.875" style="120"/>
    <col min="14876" max="14877" width="11.25" style="120" bestFit="1" customWidth="1"/>
    <col min="14878" max="14878" width="11" style="120" bestFit="1" customWidth="1"/>
    <col min="14879" max="14879" width="13" style="120" bestFit="1" customWidth="1"/>
    <col min="14880" max="14880" width="12.75" style="120" bestFit="1" customWidth="1"/>
    <col min="14881" max="15104" width="8.875" style="120"/>
    <col min="15105" max="15105" width="26.25" style="120" bestFit="1" customWidth="1"/>
    <col min="15106" max="15106" width="30.75" style="120" bestFit="1" customWidth="1"/>
    <col min="15107" max="15107" width="9.25" style="120" customWidth="1"/>
    <col min="15108" max="15108" width="10.25" style="120" bestFit="1" customWidth="1"/>
    <col min="15109" max="15109" width="9.25" style="120" customWidth="1"/>
    <col min="15110" max="15110" width="9" style="120" bestFit="1" customWidth="1"/>
    <col min="15111" max="15111" width="9.375" style="120" customWidth="1"/>
    <col min="15112" max="15112" width="9" style="120" bestFit="1" customWidth="1"/>
    <col min="15113" max="15113" width="9.25" style="120" customWidth="1"/>
    <col min="15114" max="15114" width="9" style="120" customWidth="1"/>
    <col min="15115" max="15115" width="11.875" style="120" bestFit="1" customWidth="1"/>
    <col min="15116" max="15116" width="9" style="120" bestFit="1" customWidth="1"/>
    <col min="15117" max="15118" width="11.25" style="120" bestFit="1" customWidth="1"/>
    <col min="15119" max="15119" width="14.25" style="120" bestFit="1" customWidth="1"/>
    <col min="15120" max="15120" width="13" style="120" customWidth="1"/>
    <col min="15121" max="15121" width="11.25" style="120" bestFit="1" customWidth="1"/>
    <col min="15122" max="15122" width="8.875" style="120"/>
    <col min="15123" max="15123" width="10.25" style="120" bestFit="1" customWidth="1"/>
    <col min="15124" max="15129" width="8.875" style="120"/>
    <col min="15130" max="15130" width="11.875" style="120" bestFit="1" customWidth="1"/>
    <col min="15131" max="15131" width="8.875" style="120"/>
    <col min="15132" max="15133" width="11.25" style="120" bestFit="1" customWidth="1"/>
    <col min="15134" max="15134" width="11" style="120" bestFit="1" customWidth="1"/>
    <col min="15135" max="15135" width="13" style="120" bestFit="1" customWidth="1"/>
    <col min="15136" max="15136" width="12.75" style="120" bestFit="1" customWidth="1"/>
    <col min="15137" max="15360" width="8.875" style="120"/>
    <col min="15361" max="15361" width="26.25" style="120" bestFit="1" customWidth="1"/>
    <col min="15362" max="15362" width="30.75" style="120" bestFit="1" customWidth="1"/>
    <col min="15363" max="15363" width="9.25" style="120" customWidth="1"/>
    <col min="15364" max="15364" width="10.25" style="120" bestFit="1" customWidth="1"/>
    <col min="15365" max="15365" width="9.25" style="120" customWidth="1"/>
    <col min="15366" max="15366" width="9" style="120" bestFit="1" customWidth="1"/>
    <col min="15367" max="15367" width="9.375" style="120" customWidth="1"/>
    <col min="15368" max="15368" width="9" style="120" bestFit="1" customWidth="1"/>
    <col min="15369" max="15369" width="9.25" style="120" customWidth="1"/>
    <col min="15370" max="15370" width="9" style="120" customWidth="1"/>
    <col min="15371" max="15371" width="11.875" style="120" bestFit="1" customWidth="1"/>
    <col min="15372" max="15372" width="9" style="120" bestFit="1" customWidth="1"/>
    <col min="15373" max="15374" width="11.25" style="120" bestFit="1" customWidth="1"/>
    <col min="15375" max="15375" width="14.25" style="120" bestFit="1" customWidth="1"/>
    <col min="15376" max="15376" width="13" style="120" customWidth="1"/>
    <col min="15377" max="15377" width="11.25" style="120" bestFit="1" customWidth="1"/>
    <col min="15378" max="15378" width="8.875" style="120"/>
    <col min="15379" max="15379" width="10.25" style="120" bestFit="1" customWidth="1"/>
    <col min="15380" max="15385" width="8.875" style="120"/>
    <col min="15386" max="15386" width="11.875" style="120" bestFit="1" customWidth="1"/>
    <col min="15387" max="15387" width="8.875" style="120"/>
    <col min="15388" max="15389" width="11.25" style="120" bestFit="1" customWidth="1"/>
    <col min="15390" max="15390" width="11" style="120" bestFit="1" customWidth="1"/>
    <col min="15391" max="15391" width="13" style="120" bestFit="1" customWidth="1"/>
    <col min="15392" max="15392" width="12.75" style="120" bestFit="1" customWidth="1"/>
    <col min="15393" max="15616" width="8.875" style="120"/>
    <col min="15617" max="15617" width="26.25" style="120" bestFit="1" customWidth="1"/>
    <col min="15618" max="15618" width="30.75" style="120" bestFit="1" customWidth="1"/>
    <col min="15619" max="15619" width="9.25" style="120" customWidth="1"/>
    <col min="15620" max="15620" width="10.25" style="120" bestFit="1" customWidth="1"/>
    <col min="15621" max="15621" width="9.25" style="120" customWidth="1"/>
    <col min="15622" max="15622" width="9" style="120" bestFit="1" customWidth="1"/>
    <col min="15623" max="15623" width="9.375" style="120" customWidth="1"/>
    <col min="15624" max="15624" width="9" style="120" bestFit="1" customWidth="1"/>
    <col min="15625" max="15625" width="9.25" style="120" customWidth="1"/>
    <col min="15626" max="15626" width="9" style="120" customWidth="1"/>
    <col min="15627" max="15627" width="11.875" style="120" bestFit="1" customWidth="1"/>
    <col min="15628" max="15628" width="9" style="120" bestFit="1" customWidth="1"/>
    <col min="15629" max="15630" width="11.25" style="120" bestFit="1" customWidth="1"/>
    <col min="15631" max="15631" width="14.25" style="120" bestFit="1" customWidth="1"/>
    <col min="15632" max="15632" width="13" style="120" customWidth="1"/>
    <col min="15633" max="15633" width="11.25" style="120" bestFit="1" customWidth="1"/>
    <col min="15634" max="15634" width="8.875" style="120"/>
    <col min="15635" max="15635" width="10.25" style="120" bestFit="1" customWidth="1"/>
    <col min="15636" max="15641" width="8.875" style="120"/>
    <col min="15642" max="15642" width="11.875" style="120" bestFit="1" customWidth="1"/>
    <col min="15643" max="15643" width="8.875" style="120"/>
    <col min="15644" max="15645" width="11.25" style="120" bestFit="1" customWidth="1"/>
    <col min="15646" max="15646" width="11" style="120" bestFit="1" customWidth="1"/>
    <col min="15647" max="15647" width="13" style="120" bestFit="1" customWidth="1"/>
    <col min="15648" max="15648" width="12.75" style="120" bestFit="1" customWidth="1"/>
    <col min="15649" max="15872" width="8.875" style="120"/>
    <col min="15873" max="15873" width="26.25" style="120" bestFit="1" customWidth="1"/>
    <col min="15874" max="15874" width="30.75" style="120" bestFit="1" customWidth="1"/>
    <col min="15875" max="15875" width="9.25" style="120" customWidth="1"/>
    <col min="15876" max="15876" width="10.25" style="120" bestFit="1" customWidth="1"/>
    <col min="15877" max="15877" width="9.25" style="120" customWidth="1"/>
    <col min="15878" max="15878" width="9" style="120" bestFit="1" customWidth="1"/>
    <col min="15879" max="15879" width="9.375" style="120" customWidth="1"/>
    <col min="15880" max="15880" width="9" style="120" bestFit="1" customWidth="1"/>
    <col min="15881" max="15881" width="9.25" style="120" customWidth="1"/>
    <col min="15882" max="15882" width="9" style="120" customWidth="1"/>
    <col min="15883" max="15883" width="11.875" style="120" bestFit="1" customWidth="1"/>
    <col min="15884" max="15884" width="9" style="120" bestFit="1" customWidth="1"/>
    <col min="15885" max="15886" width="11.25" style="120" bestFit="1" customWidth="1"/>
    <col min="15887" max="15887" width="14.25" style="120" bestFit="1" customWidth="1"/>
    <col min="15888" max="15888" width="13" style="120" customWidth="1"/>
    <col min="15889" max="15889" width="11.25" style="120" bestFit="1" customWidth="1"/>
    <col min="15890" max="15890" width="8.875" style="120"/>
    <col min="15891" max="15891" width="10.25" style="120" bestFit="1" customWidth="1"/>
    <col min="15892" max="15897" width="8.875" style="120"/>
    <col min="15898" max="15898" width="11.875" style="120" bestFit="1" customWidth="1"/>
    <col min="15899" max="15899" width="8.875" style="120"/>
    <col min="15900" max="15901" width="11.25" style="120" bestFit="1" customWidth="1"/>
    <col min="15902" max="15902" width="11" style="120" bestFit="1" customWidth="1"/>
    <col min="15903" max="15903" width="13" style="120" bestFit="1" customWidth="1"/>
    <col min="15904" max="15904" width="12.75" style="120" bestFit="1" customWidth="1"/>
    <col min="15905" max="16128" width="8.875" style="120"/>
    <col min="16129" max="16129" width="26.25" style="120" bestFit="1" customWidth="1"/>
    <col min="16130" max="16130" width="30.75" style="120" bestFit="1" customWidth="1"/>
    <col min="16131" max="16131" width="9.25" style="120" customWidth="1"/>
    <col min="16132" max="16132" width="10.25" style="120" bestFit="1" customWidth="1"/>
    <col min="16133" max="16133" width="9.25" style="120" customWidth="1"/>
    <col min="16134" max="16134" width="9" style="120" bestFit="1" customWidth="1"/>
    <col min="16135" max="16135" width="9.375" style="120" customWidth="1"/>
    <col min="16136" max="16136" width="9" style="120" bestFit="1" customWidth="1"/>
    <col min="16137" max="16137" width="9.25" style="120" customWidth="1"/>
    <col min="16138" max="16138" width="9" style="120" customWidth="1"/>
    <col min="16139" max="16139" width="11.875" style="120" bestFit="1" customWidth="1"/>
    <col min="16140" max="16140" width="9" style="120" bestFit="1" customWidth="1"/>
    <col min="16141" max="16142" width="11.25" style="120" bestFit="1" customWidth="1"/>
    <col min="16143" max="16143" width="14.25" style="120" bestFit="1" customWidth="1"/>
    <col min="16144" max="16144" width="13" style="120" customWidth="1"/>
    <col min="16145" max="16145" width="11.25" style="120" bestFit="1" customWidth="1"/>
    <col min="16146" max="16146" width="8.875" style="120"/>
    <col min="16147" max="16147" width="10.25" style="120" bestFit="1" customWidth="1"/>
    <col min="16148" max="16153" width="8.875" style="120"/>
    <col min="16154" max="16154" width="11.875" style="120" bestFit="1" customWidth="1"/>
    <col min="16155" max="16155" width="8.875" style="120"/>
    <col min="16156" max="16157" width="11.25" style="120" bestFit="1" customWidth="1"/>
    <col min="16158" max="16158" width="11" style="120" bestFit="1" customWidth="1"/>
    <col min="16159" max="16159" width="13" style="120" bestFit="1" customWidth="1"/>
    <col min="16160" max="16160" width="12.75" style="120" bestFit="1" customWidth="1"/>
    <col min="16161" max="16384" width="8.875" style="120"/>
  </cols>
  <sheetData>
    <row r="1" spans="1:84" x14ac:dyDescent="0.35">
      <c r="A1" s="118"/>
      <c r="B1" s="118"/>
      <c r="C1" s="118"/>
      <c r="D1" s="118"/>
      <c r="E1" s="118"/>
      <c r="G1" s="267"/>
    </row>
    <row r="2" spans="1:84" x14ac:dyDescent="0.35">
      <c r="B2" s="124" t="s">
        <v>108</v>
      </c>
      <c r="D2" s="118"/>
      <c r="E2" s="118"/>
      <c r="G2" s="120"/>
    </row>
    <row r="3" spans="1:84" ht="21.75" customHeight="1" x14ac:dyDescent="0.35">
      <c r="B3" s="122"/>
      <c r="C3" s="122"/>
      <c r="D3" s="118"/>
      <c r="E3" s="118"/>
      <c r="G3" s="120"/>
      <c r="CF3" s="632" t="s">
        <v>364</v>
      </c>
    </row>
    <row r="4" spans="1:84" ht="21.75" customHeight="1" x14ac:dyDescent="0.35">
      <c r="B4" s="124" t="s">
        <v>109</v>
      </c>
      <c r="C4" s="124" t="s">
        <v>8</v>
      </c>
      <c r="D4" s="118"/>
      <c r="E4" s="118"/>
      <c r="G4" s="120"/>
    </row>
    <row r="5" spans="1:84" ht="21.75" customHeight="1" x14ac:dyDescent="0.35">
      <c r="B5" s="125" t="str">
        <f>IF(ISBLANK(Directions!C6), "Owner", Directions!C6)</f>
        <v>Owner</v>
      </c>
      <c r="C5" s="173" t="str">
        <f>IF(ISBLANK(Directions!D6), "Company 1", Directions!D6)</f>
        <v>Company 1</v>
      </c>
      <c r="D5" s="173"/>
      <c r="E5" s="118"/>
      <c r="G5" s="267"/>
    </row>
    <row r="6" spans="1:84" ht="21.75" customHeight="1" x14ac:dyDescent="0.35">
      <c r="B6" s="122"/>
      <c r="C6" s="122"/>
      <c r="D6" s="118"/>
      <c r="E6" s="118"/>
      <c r="G6" s="267"/>
    </row>
    <row r="7" spans="1:84" x14ac:dyDescent="0.35">
      <c r="B7" s="268" t="s">
        <v>110</v>
      </c>
      <c r="C7" s="269">
        <v>0.1</v>
      </c>
      <c r="D7" s="210"/>
      <c r="E7" s="209"/>
      <c r="G7" s="267"/>
      <c r="L7" s="270"/>
    </row>
    <row r="8" spans="1:84" x14ac:dyDescent="0.35">
      <c r="B8" s="268" t="s">
        <v>111</v>
      </c>
      <c r="C8" s="269">
        <v>0.1</v>
      </c>
      <c r="D8" s="210"/>
      <c r="E8" s="209"/>
      <c r="F8" s="267"/>
      <c r="G8" s="267"/>
      <c r="L8" s="270"/>
    </row>
    <row r="9" spans="1:84" s="118" customFormat="1" x14ac:dyDescent="0.35">
      <c r="A9" s="209"/>
      <c r="B9" s="209"/>
      <c r="C9" s="267"/>
      <c r="D9" s="267"/>
      <c r="E9" s="267"/>
      <c r="F9" s="267"/>
      <c r="G9" s="267"/>
      <c r="H9" s="267"/>
      <c r="I9" s="267"/>
      <c r="J9" s="267"/>
      <c r="K9" s="267"/>
      <c r="L9" s="267"/>
      <c r="M9" s="267"/>
    </row>
    <row r="10" spans="1:84" ht="32.25" thickBot="1" x14ac:dyDescent="0.4">
      <c r="A10" s="271" t="s">
        <v>95</v>
      </c>
      <c r="B10" s="271" t="s">
        <v>90</v>
      </c>
      <c r="C10" s="271" t="str">
        <f>'2a-PayrollYear1'!F7</f>
        <v>Month 1</v>
      </c>
      <c r="D10" s="271" t="str">
        <f>'2a-PayrollYear1'!G7</f>
        <v>Month 2</v>
      </c>
      <c r="E10" s="271" t="str">
        <f>'2a-PayrollYear1'!H7</f>
        <v>Month 3</v>
      </c>
      <c r="F10" s="271" t="str">
        <f>'2a-PayrollYear1'!I7</f>
        <v>Month 4</v>
      </c>
      <c r="G10" s="271" t="str">
        <f>'2a-PayrollYear1'!J7</f>
        <v>Month 5</v>
      </c>
      <c r="H10" s="271" t="str">
        <f>'2a-PayrollYear1'!K7</f>
        <v>Month 6</v>
      </c>
      <c r="I10" s="271" t="str">
        <f>'2a-PayrollYear1'!L7</f>
        <v>Month 7</v>
      </c>
      <c r="J10" s="271" t="str">
        <f>'2a-PayrollYear1'!M7</f>
        <v>Month 8</v>
      </c>
      <c r="K10" s="271" t="str">
        <f>'2a-PayrollYear1'!N7</f>
        <v>Month 9</v>
      </c>
      <c r="L10" s="271" t="str">
        <f>'2a-PayrollYear1'!O7</f>
        <v>Month 10</v>
      </c>
      <c r="M10" s="271" t="str">
        <f>'2a-PayrollYear1'!P7</f>
        <v>Month 11</v>
      </c>
      <c r="N10" s="271" t="str">
        <f>'2a-PayrollYear1'!Q7</f>
        <v>Month 12</v>
      </c>
      <c r="O10" s="128" t="s">
        <v>112</v>
      </c>
      <c r="P10" s="129" t="s">
        <v>100</v>
      </c>
      <c r="Q10" s="129" t="s">
        <v>101</v>
      </c>
      <c r="R10" s="178" t="str">
        <f>'2a-PayrollYear1'!F7</f>
        <v>Month 1</v>
      </c>
      <c r="S10" s="178" t="str">
        <f>'2a-PayrollYear1'!G7</f>
        <v>Month 2</v>
      </c>
      <c r="T10" s="178" t="str">
        <f>'2a-PayrollYear1'!H7</f>
        <v>Month 3</v>
      </c>
      <c r="U10" s="178" t="str">
        <f>'2a-PayrollYear1'!I7</f>
        <v>Month 4</v>
      </c>
      <c r="V10" s="178" t="str">
        <f>'2a-PayrollYear1'!J7</f>
        <v>Month 5</v>
      </c>
      <c r="W10" s="178" t="str">
        <f>'2a-PayrollYear1'!K7</f>
        <v>Month 6</v>
      </c>
      <c r="X10" s="178" t="str">
        <f>'2a-PayrollYear1'!L7</f>
        <v>Month 7</v>
      </c>
      <c r="Y10" s="178" t="str">
        <f>'2a-PayrollYear1'!M7</f>
        <v>Month 8</v>
      </c>
      <c r="Z10" s="178" t="str">
        <f>'2a-PayrollYear1'!N7</f>
        <v>Month 9</v>
      </c>
      <c r="AA10" s="178" t="str">
        <f>'2a-PayrollYear1'!O7</f>
        <v>Month 10</v>
      </c>
      <c r="AB10" s="178" t="str">
        <f>'2a-PayrollYear1'!P7</f>
        <v>Month 11</v>
      </c>
      <c r="AC10" s="178" t="str">
        <f>'2a-PayrollYear1'!Q7</f>
        <v>Month 12</v>
      </c>
      <c r="AD10" s="129" t="s">
        <v>113</v>
      </c>
      <c r="AE10" s="129" t="s">
        <v>100</v>
      </c>
      <c r="AF10" s="129" t="s">
        <v>101</v>
      </c>
    </row>
    <row r="11" spans="1:84" s="118" customFormat="1" ht="16.5" thickTop="1" x14ac:dyDescent="0.35">
      <c r="A11" s="224" t="str">
        <f>'3a-SalesForecastYear1'!B17</f>
        <v>Product 1</v>
      </c>
      <c r="B11" s="224"/>
      <c r="C11" s="225"/>
      <c r="D11" s="225"/>
      <c r="E11" s="225"/>
      <c r="F11" s="225"/>
      <c r="G11" s="225"/>
      <c r="H11" s="225"/>
      <c r="I11" s="225"/>
      <c r="J11" s="225"/>
      <c r="K11" s="225"/>
      <c r="L11" s="225"/>
      <c r="M11" s="225"/>
      <c r="N11" s="225"/>
      <c r="O11" s="226"/>
      <c r="P11" s="131"/>
      <c r="Q11" s="226"/>
      <c r="R11" s="225"/>
      <c r="S11" s="225"/>
      <c r="T11" s="225"/>
      <c r="U11" s="225"/>
      <c r="V11" s="225"/>
      <c r="W11" s="225"/>
      <c r="X11" s="225"/>
      <c r="Y11" s="225"/>
      <c r="Z11" s="225"/>
      <c r="AA11" s="225"/>
      <c r="AB11" s="225"/>
      <c r="AC11" s="225"/>
      <c r="AD11" s="226"/>
      <c r="AE11" s="131"/>
      <c r="AF11" s="226"/>
    </row>
    <row r="12" spans="1:84" s="118" customFormat="1" x14ac:dyDescent="0.35">
      <c r="A12" s="227" t="str">
        <f>Unit1&amp; " Sold"</f>
        <v xml:space="preserve"> Sold</v>
      </c>
      <c r="B12" s="227">
        <f>Unit1_Annual</f>
        <v>0</v>
      </c>
      <c r="C12" s="272">
        <f>'3a-SalesForecastYear1'!C18+('3a-SalesForecastYear1'!C18*$C$7)</f>
        <v>0</v>
      </c>
      <c r="D12" s="272">
        <f>'3a-SalesForecastYear1'!D18+('3a-SalesForecastYear1'!D18*$C$7)</f>
        <v>0</v>
      </c>
      <c r="E12" s="272">
        <f>'3a-SalesForecastYear1'!E18+('3a-SalesForecastYear1'!E18*$C$7)</f>
        <v>0</v>
      </c>
      <c r="F12" s="272">
        <f>'3a-SalesForecastYear1'!F18+('3a-SalesForecastYear1'!F18*$C$7)</f>
        <v>0</v>
      </c>
      <c r="G12" s="272">
        <f>'3a-SalesForecastYear1'!G18+('3a-SalesForecastYear1'!G18*$C$7)</f>
        <v>0</v>
      </c>
      <c r="H12" s="272">
        <f>'3a-SalesForecastYear1'!H18+('3a-SalesForecastYear1'!H18*$C$7)</f>
        <v>0</v>
      </c>
      <c r="I12" s="272">
        <f>'3a-SalesForecastYear1'!I18+('3a-SalesForecastYear1'!I18*$C$7)</f>
        <v>0</v>
      </c>
      <c r="J12" s="272">
        <f>'3a-SalesForecastYear1'!J18+('3a-SalesForecastYear1'!J18*$C$7)</f>
        <v>0</v>
      </c>
      <c r="K12" s="272">
        <f>'3a-SalesForecastYear1'!K18+('3a-SalesForecastYear1'!K18*$C$7)</f>
        <v>0</v>
      </c>
      <c r="L12" s="272">
        <f>'3a-SalesForecastYear1'!L18+('3a-SalesForecastYear1'!L18*$C$7)</f>
        <v>0</v>
      </c>
      <c r="M12" s="272">
        <f>'3a-SalesForecastYear1'!M18+('3a-SalesForecastYear1'!M18*$C$7)</f>
        <v>0</v>
      </c>
      <c r="N12" s="272">
        <f>'3a-SalesForecastYear1'!N18+('3a-SalesForecastYear1'!N18*$C$7)</f>
        <v>0</v>
      </c>
      <c r="O12" s="229">
        <f>SUM(C12:N12)</f>
        <v>0</v>
      </c>
      <c r="P12" s="138"/>
      <c r="Q12" s="230">
        <f>IF($O$52=0,0,O12/$O$52)</f>
        <v>0</v>
      </c>
      <c r="R12" s="273">
        <f t="shared" ref="R12:AC14" si="0">C12+(C12*$C$8)</f>
        <v>0</v>
      </c>
      <c r="S12" s="273">
        <f t="shared" si="0"/>
        <v>0</v>
      </c>
      <c r="T12" s="273">
        <f t="shared" si="0"/>
        <v>0</v>
      </c>
      <c r="U12" s="273">
        <f t="shared" si="0"/>
        <v>0</v>
      </c>
      <c r="V12" s="273">
        <f t="shared" si="0"/>
        <v>0</v>
      </c>
      <c r="W12" s="273">
        <f t="shared" si="0"/>
        <v>0</v>
      </c>
      <c r="X12" s="273">
        <f t="shared" si="0"/>
        <v>0</v>
      </c>
      <c r="Y12" s="273">
        <f t="shared" si="0"/>
        <v>0</v>
      </c>
      <c r="Z12" s="273">
        <f t="shared" si="0"/>
        <v>0</v>
      </c>
      <c r="AA12" s="273">
        <f t="shared" si="0"/>
        <v>0</v>
      </c>
      <c r="AB12" s="273">
        <f t="shared" si="0"/>
        <v>0</v>
      </c>
      <c r="AC12" s="273">
        <f t="shared" si="0"/>
        <v>0</v>
      </c>
      <c r="AD12" s="229">
        <f>SUM(R12:AC12)</f>
        <v>0</v>
      </c>
      <c r="AE12" s="138"/>
      <c r="AF12" s="230">
        <f>IF($O$52=0,0,AD12/$O$52)</f>
        <v>0</v>
      </c>
    </row>
    <row r="13" spans="1:84" x14ac:dyDescent="0.35">
      <c r="A13" s="231" t="s">
        <v>102</v>
      </c>
      <c r="B13" s="274">
        <f>Category1_Annual_Sales</f>
        <v>0</v>
      </c>
      <c r="C13" s="275">
        <f>'3a-SalesForecastYear1'!C19+('3a-SalesForecastYear1'!C19*$C$7)</f>
        <v>0</v>
      </c>
      <c r="D13" s="275">
        <f>'3a-SalesForecastYear1'!D19+('3a-SalesForecastYear1'!D19*$C$7)</f>
        <v>0</v>
      </c>
      <c r="E13" s="275">
        <f>'3a-SalesForecastYear1'!E19+('3a-SalesForecastYear1'!E19*$C$7)</f>
        <v>0</v>
      </c>
      <c r="F13" s="275">
        <f>'3a-SalesForecastYear1'!F19+('3a-SalesForecastYear1'!F19*$C$7)</f>
        <v>0</v>
      </c>
      <c r="G13" s="275">
        <f>'3a-SalesForecastYear1'!G19+('3a-SalesForecastYear1'!G19*$C$7)</f>
        <v>0</v>
      </c>
      <c r="H13" s="275">
        <f>'3a-SalesForecastYear1'!H19+('3a-SalesForecastYear1'!H19*$C$7)</f>
        <v>0</v>
      </c>
      <c r="I13" s="275">
        <f>'3a-SalesForecastYear1'!I19+('3a-SalesForecastYear1'!I19*$C$7)</f>
        <v>0</v>
      </c>
      <c r="J13" s="275">
        <f>'3a-SalesForecastYear1'!J19+('3a-SalesForecastYear1'!J19*$C$7)</f>
        <v>0</v>
      </c>
      <c r="K13" s="275">
        <f>'3a-SalesForecastYear1'!K19+('3a-SalesForecastYear1'!K19*$C$7)</f>
        <v>0</v>
      </c>
      <c r="L13" s="275">
        <f>'3a-SalesForecastYear1'!L19+('3a-SalesForecastYear1'!L19*$C$7)</f>
        <v>0</v>
      </c>
      <c r="M13" s="275">
        <f>'3a-SalesForecastYear1'!M19+('3a-SalesForecastYear1'!M19*$C$7)</f>
        <v>0</v>
      </c>
      <c r="N13" s="275">
        <f>'3a-SalesForecastYear1'!N19+('3a-SalesForecastYear1'!N19*$C$7)</f>
        <v>0</v>
      </c>
      <c r="O13" s="233">
        <f>SUM(C13:N13)</f>
        <v>0</v>
      </c>
      <c r="P13" s="234">
        <f>(P14+P15)</f>
        <v>0</v>
      </c>
      <c r="Q13" s="230">
        <f>IF($O$53=0,0,O13/$O$53)</f>
        <v>0</v>
      </c>
      <c r="R13" s="276">
        <f t="shared" si="0"/>
        <v>0</v>
      </c>
      <c r="S13" s="276">
        <f t="shared" si="0"/>
        <v>0</v>
      </c>
      <c r="T13" s="276">
        <f t="shared" si="0"/>
        <v>0</v>
      </c>
      <c r="U13" s="276">
        <f t="shared" si="0"/>
        <v>0</v>
      </c>
      <c r="V13" s="276">
        <f t="shared" si="0"/>
        <v>0</v>
      </c>
      <c r="W13" s="276">
        <f t="shared" si="0"/>
        <v>0</v>
      </c>
      <c r="X13" s="276">
        <f t="shared" si="0"/>
        <v>0</v>
      </c>
      <c r="Y13" s="276">
        <f t="shared" si="0"/>
        <v>0</v>
      </c>
      <c r="Z13" s="276">
        <f t="shared" si="0"/>
        <v>0</v>
      </c>
      <c r="AA13" s="276">
        <f t="shared" si="0"/>
        <v>0</v>
      </c>
      <c r="AB13" s="276">
        <f t="shared" si="0"/>
        <v>0</v>
      </c>
      <c r="AC13" s="276">
        <f t="shared" si="0"/>
        <v>0</v>
      </c>
      <c r="AD13" s="233">
        <f>SUM(R13:AC13)</f>
        <v>0</v>
      </c>
      <c r="AE13" s="234">
        <f>(AE14+AE15)</f>
        <v>0</v>
      </c>
      <c r="AF13" s="230">
        <f>IF($O$53=0,0,AD13/$O$53)</f>
        <v>0</v>
      </c>
    </row>
    <row r="14" spans="1:84" x14ac:dyDescent="0.35">
      <c r="A14" s="231" t="s">
        <v>103</v>
      </c>
      <c r="B14" s="274">
        <f>'3a-SalesForecastYear1'!O20</f>
        <v>0</v>
      </c>
      <c r="C14" s="275">
        <f>'3a-SalesForecastYear1'!C20+('3a-SalesForecastYear1'!C20*$C$7)</f>
        <v>0</v>
      </c>
      <c r="D14" s="275">
        <f>'3a-SalesForecastYear1'!D20+('3a-SalesForecastYear1'!D20*$C$7)</f>
        <v>0</v>
      </c>
      <c r="E14" s="275">
        <f>'3a-SalesForecastYear1'!E20+('3a-SalesForecastYear1'!E20*$C$7)</f>
        <v>0</v>
      </c>
      <c r="F14" s="275">
        <f>'3a-SalesForecastYear1'!F20+('3a-SalesForecastYear1'!F20*$C$7)</f>
        <v>0</v>
      </c>
      <c r="G14" s="275">
        <f>'3a-SalesForecastYear1'!G20+('3a-SalesForecastYear1'!G20*$C$7)</f>
        <v>0</v>
      </c>
      <c r="H14" s="275">
        <f>'3a-SalesForecastYear1'!H20+('3a-SalesForecastYear1'!H20*$C$7)</f>
        <v>0</v>
      </c>
      <c r="I14" s="275">
        <f>'3a-SalesForecastYear1'!I20+('3a-SalesForecastYear1'!I20*$C$7)</f>
        <v>0</v>
      </c>
      <c r="J14" s="275">
        <f>'3a-SalesForecastYear1'!J20+('3a-SalesForecastYear1'!J20*$C$7)</f>
        <v>0</v>
      </c>
      <c r="K14" s="275">
        <f>'3a-SalesForecastYear1'!K20+('3a-SalesForecastYear1'!K20*$C$7)</f>
        <v>0</v>
      </c>
      <c r="L14" s="275">
        <f>'3a-SalesForecastYear1'!L20+('3a-SalesForecastYear1'!L20*$C$7)</f>
        <v>0</v>
      </c>
      <c r="M14" s="275">
        <f>'3a-SalesForecastYear1'!M20+('3a-SalesForecastYear1'!M20*$C$7)</f>
        <v>0</v>
      </c>
      <c r="N14" s="275">
        <f>'3a-SalesForecastYear1'!N20+('3a-SalesForecastYear1'!N20*$C$7)</f>
        <v>0</v>
      </c>
      <c r="O14" s="233">
        <f>SUM(C14:N14)</f>
        <v>0</v>
      </c>
      <c r="P14" s="234">
        <f>IF(O13=0,0,O14/O13)</f>
        <v>0</v>
      </c>
      <c r="Q14" s="230">
        <f>IF($O$54=0,0,O14/$O$54)</f>
        <v>0</v>
      </c>
      <c r="R14" s="276">
        <f t="shared" si="0"/>
        <v>0</v>
      </c>
      <c r="S14" s="276">
        <f t="shared" si="0"/>
        <v>0</v>
      </c>
      <c r="T14" s="276">
        <f t="shared" si="0"/>
        <v>0</v>
      </c>
      <c r="U14" s="276">
        <f t="shared" si="0"/>
        <v>0</v>
      </c>
      <c r="V14" s="276">
        <f t="shared" si="0"/>
        <v>0</v>
      </c>
      <c r="W14" s="276">
        <f t="shared" si="0"/>
        <v>0</v>
      </c>
      <c r="X14" s="276">
        <f t="shared" si="0"/>
        <v>0</v>
      </c>
      <c r="Y14" s="276">
        <f t="shared" si="0"/>
        <v>0</v>
      </c>
      <c r="Z14" s="276">
        <f t="shared" si="0"/>
        <v>0</v>
      </c>
      <c r="AA14" s="276">
        <f t="shared" si="0"/>
        <v>0</v>
      </c>
      <c r="AB14" s="276">
        <f t="shared" si="0"/>
        <v>0</v>
      </c>
      <c r="AC14" s="276">
        <f t="shared" si="0"/>
        <v>0</v>
      </c>
      <c r="AD14" s="233">
        <f>SUM(R14:AC14)</f>
        <v>0</v>
      </c>
      <c r="AE14" s="234">
        <f>IF(AD13=0,0,AD14/AD13)</f>
        <v>0</v>
      </c>
      <c r="AF14" s="230">
        <f>IF($O$54=0,0,AD14/$O$54)</f>
        <v>0</v>
      </c>
    </row>
    <row r="15" spans="1:84" s="119" customFormat="1" x14ac:dyDescent="0.35">
      <c r="A15" s="235" t="s">
        <v>104</v>
      </c>
      <c r="B15" s="274">
        <f>'3a-SalesForecastYear1'!O21</f>
        <v>0</v>
      </c>
      <c r="C15" s="275">
        <f>C13-C14</f>
        <v>0</v>
      </c>
      <c r="D15" s="275">
        <f t="shared" ref="D15:N15" si="1">D13-D14</f>
        <v>0</v>
      </c>
      <c r="E15" s="275">
        <f t="shared" si="1"/>
        <v>0</v>
      </c>
      <c r="F15" s="275">
        <f t="shared" si="1"/>
        <v>0</v>
      </c>
      <c r="G15" s="275">
        <f t="shared" si="1"/>
        <v>0</v>
      </c>
      <c r="H15" s="275">
        <f t="shared" si="1"/>
        <v>0</v>
      </c>
      <c r="I15" s="275">
        <f t="shared" si="1"/>
        <v>0</v>
      </c>
      <c r="J15" s="275">
        <f t="shared" si="1"/>
        <v>0</v>
      </c>
      <c r="K15" s="275">
        <f t="shared" si="1"/>
        <v>0</v>
      </c>
      <c r="L15" s="275">
        <f t="shared" si="1"/>
        <v>0</v>
      </c>
      <c r="M15" s="275">
        <f t="shared" si="1"/>
        <v>0</v>
      </c>
      <c r="N15" s="275">
        <f t="shared" si="1"/>
        <v>0</v>
      </c>
      <c r="O15" s="233">
        <f>SUM(C15:N15)</f>
        <v>0</v>
      </c>
      <c r="P15" s="234">
        <f>IF(O13=0,0,O15/O13)</f>
        <v>0</v>
      </c>
      <c r="Q15" s="230">
        <f>IF($O$55=0,0,O15/$O$55)</f>
        <v>0</v>
      </c>
      <c r="R15" s="276">
        <f>R13-R14</f>
        <v>0</v>
      </c>
      <c r="S15" s="276">
        <f t="shared" ref="S15:AC15" si="2">S13-S14</f>
        <v>0</v>
      </c>
      <c r="T15" s="276">
        <f t="shared" si="2"/>
        <v>0</v>
      </c>
      <c r="U15" s="276">
        <f t="shared" si="2"/>
        <v>0</v>
      </c>
      <c r="V15" s="276">
        <f t="shared" si="2"/>
        <v>0</v>
      </c>
      <c r="W15" s="276">
        <f t="shared" si="2"/>
        <v>0</v>
      </c>
      <c r="X15" s="276">
        <f t="shared" si="2"/>
        <v>0</v>
      </c>
      <c r="Y15" s="276">
        <f t="shared" si="2"/>
        <v>0</v>
      </c>
      <c r="Z15" s="276">
        <f t="shared" si="2"/>
        <v>0</v>
      </c>
      <c r="AA15" s="276">
        <f t="shared" si="2"/>
        <v>0</v>
      </c>
      <c r="AB15" s="276">
        <f t="shared" si="2"/>
        <v>0</v>
      </c>
      <c r="AC15" s="276">
        <f t="shared" si="2"/>
        <v>0</v>
      </c>
      <c r="AD15" s="233">
        <f>SUM(R15:AC15)</f>
        <v>0</v>
      </c>
      <c r="AE15" s="234">
        <f>IF(AD13=0,0,AD15/AD13)</f>
        <v>0</v>
      </c>
      <c r="AF15" s="230">
        <f>IF($O$55=0,0,AD15/$O$55)</f>
        <v>0</v>
      </c>
    </row>
    <row r="16" spans="1:84" s="119" customFormat="1" x14ac:dyDescent="0.35">
      <c r="A16" s="237"/>
      <c r="B16" s="277"/>
      <c r="C16" s="238"/>
      <c r="D16" s="239"/>
      <c r="E16" s="239"/>
      <c r="F16" s="239"/>
      <c r="G16" s="239"/>
      <c r="H16" s="239"/>
      <c r="I16" s="239"/>
      <c r="J16" s="239"/>
      <c r="K16" s="239"/>
      <c r="L16" s="239"/>
      <c r="M16" s="239"/>
      <c r="N16" s="239"/>
      <c r="O16" s="240"/>
      <c r="P16" s="138"/>
      <c r="Q16" s="241"/>
      <c r="R16" s="238"/>
      <c r="S16" s="239"/>
      <c r="T16" s="239"/>
      <c r="U16" s="239"/>
      <c r="V16" s="239"/>
      <c r="W16" s="239"/>
      <c r="X16" s="239"/>
      <c r="Y16" s="239"/>
      <c r="Z16" s="239"/>
      <c r="AA16" s="239"/>
      <c r="AB16" s="239"/>
      <c r="AC16" s="239"/>
      <c r="AD16" s="240"/>
      <c r="AE16" s="138"/>
      <c r="AF16" s="241"/>
    </row>
    <row r="17" spans="1:32" s="118" customFormat="1" x14ac:dyDescent="0.35">
      <c r="A17" s="224" t="str">
        <f>'3a-SalesForecastYear1'!B23</f>
        <v>Product 2</v>
      </c>
      <c r="B17" s="224"/>
      <c r="C17" s="243"/>
      <c r="D17" s="243"/>
      <c r="E17" s="243"/>
      <c r="F17" s="243"/>
      <c r="G17" s="243"/>
      <c r="H17" s="243"/>
      <c r="I17" s="243"/>
      <c r="J17" s="243"/>
      <c r="K17" s="243"/>
      <c r="L17" s="243"/>
      <c r="M17" s="243"/>
      <c r="N17" s="243"/>
      <c r="O17" s="226"/>
      <c r="P17" s="138"/>
      <c r="Q17" s="241"/>
      <c r="R17" s="243"/>
      <c r="S17" s="243"/>
      <c r="T17" s="243"/>
      <c r="U17" s="243"/>
      <c r="V17" s="243"/>
      <c r="W17" s="243"/>
      <c r="X17" s="243"/>
      <c r="Y17" s="243"/>
      <c r="Z17" s="243"/>
      <c r="AA17" s="243"/>
      <c r="AB17" s="243"/>
      <c r="AC17" s="243"/>
      <c r="AD17" s="226"/>
      <c r="AE17" s="138"/>
      <c r="AF17" s="241"/>
    </row>
    <row r="18" spans="1:32" s="118" customFormat="1" x14ac:dyDescent="0.35">
      <c r="A18" s="227" t="str">
        <f>Unit2&amp; " Sold"</f>
        <v xml:space="preserve"> Sold</v>
      </c>
      <c r="B18" s="227">
        <f>Unit2_Annual</f>
        <v>0</v>
      </c>
      <c r="C18" s="272">
        <f>'3a-SalesForecastYear1'!C24+('3a-SalesForecastYear1'!C24*$C$7)</f>
        <v>0</v>
      </c>
      <c r="D18" s="272">
        <f>'3a-SalesForecastYear1'!D24+('3a-SalesForecastYear1'!D24*$C$7)</f>
        <v>0</v>
      </c>
      <c r="E18" s="272">
        <f>'3a-SalesForecastYear1'!E24+('3a-SalesForecastYear1'!E24*$C$7)</f>
        <v>0</v>
      </c>
      <c r="F18" s="272">
        <f>'3a-SalesForecastYear1'!F24+('3a-SalesForecastYear1'!F24*$C$7)</f>
        <v>0</v>
      </c>
      <c r="G18" s="272">
        <f>'3a-SalesForecastYear1'!G24+('3a-SalesForecastYear1'!G24*$C$7)</f>
        <v>0</v>
      </c>
      <c r="H18" s="272">
        <f>'3a-SalesForecastYear1'!H24+('3a-SalesForecastYear1'!H24*$C$7)</f>
        <v>0</v>
      </c>
      <c r="I18" s="272">
        <f>'3a-SalesForecastYear1'!I24+('3a-SalesForecastYear1'!I24*$C$7)</f>
        <v>0</v>
      </c>
      <c r="J18" s="272">
        <f>'3a-SalesForecastYear1'!J24+('3a-SalesForecastYear1'!J24*$C$7)</f>
        <v>0</v>
      </c>
      <c r="K18" s="272">
        <f>'3a-SalesForecastYear1'!K24+('3a-SalesForecastYear1'!K24*$C$7)</f>
        <v>0</v>
      </c>
      <c r="L18" s="272">
        <f>'3a-SalesForecastYear1'!L24+('3a-SalesForecastYear1'!L24*$C$7)</f>
        <v>0</v>
      </c>
      <c r="M18" s="272">
        <f>'3a-SalesForecastYear1'!M24+('3a-SalesForecastYear1'!M24*$C$7)</f>
        <v>0</v>
      </c>
      <c r="N18" s="272">
        <f>'3a-SalesForecastYear1'!N24+('3a-SalesForecastYear1'!N24*$C$7)</f>
        <v>0</v>
      </c>
      <c r="O18" s="244">
        <f>SUM(C18:N18)</f>
        <v>0</v>
      </c>
      <c r="P18" s="138"/>
      <c r="Q18" s="230">
        <f>IF($O$52=0,0,O18/$O$52)</f>
        <v>0</v>
      </c>
      <c r="R18" s="273">
        <f>C18+(C18*$C$8)</f>
        <v>0</v>
      </c>
      <c r="S18" s="273">
        <f t="shared" ref="S18:AC20" si="3">D18+(D18*$C$8)</f>
        <v>0</v>
      </c>
      <c r="T18" s="273">
        <f t="shared" si="3"/>
        <v>0</v>
      </c>
      <c r="U18" s="273">
        <f t="shared" si="3"/>
        <v>0</v>
      </c>
      <c r="V18" s="273">
        <f t="shared" si="3"/>
        <v>0</v>
      </c>
      <c r="W18" s="273">
        <f t="shared" si="3"/>
        <v>0</v>
      </c>
      <c r="X18" s="273">
        <f t="shared" si="3"/>
        <v>0</v>
      </c>
      <c r="Y18" s="273">
        <f t="shared" si="3"/>
        <v>0</v>
      </c>
      <c r="Z18" s="273">
        <f t="shared" si="3"/>
        <v>0</v>
      </c>
      <c r="AA18" s="273">
        <f t="shared" si="3"/>
        <v>0</v>
      </c>
      <c r="AB18" s="273">
        <f t="shared" si="3"/>
        <v>0</v>
      </c>
      <c r="AC18" s="273">
        <f t="shared" si="3"/>
        <v>0</v>
      </c>
      <c r="AD18" s="244">
        <f>SUM(R18:AC18)</f>
        <v>0</v>
      </c>
      <c r="AE18" s="138"/>
      <c r="AF18" s="230">
        <f>IF($O$52=0,0,AD18/$O$52)</f>
        <v>0</v>
      </c>
    </row>
    <row r="19" spans="1:32" x14ac:dyDescent="0.35">
      <c r="A19" s="245" t="s">
        <v>102</v>
      </c>
      <c r="B19" s="278">
        <f>Category2_Annual_Sales</f>
        <v>0</v>
      </c>
      <c r="C19" s="275">
        <f>'3a-SalesForecastYear1'!C25+('3a-SalesForecastYear1'!C25*$C$7)</f>
        <v>0</v>
      </c>
      <c r="D19" s="275">
        <f>'3a-SalesForecastYear1'!D25+('3a-SalesForecastYear1'!D25*$C$7)</f>
        <v>0</v>
      </c>
      <c r="E19" s="275">
        <f>'3a-SalesForecastYear1'!E25+('3a-SalesForecastYear1'!E25*$C$7)</f>
        <v>0</v>
      </c>
      <c r="F19" s="275">
        <f>'3a-SalesForecastYear1'!F25+('3a-SalesForecastYear1'!F25*$C$7)</f>
        <v>0</v>
      </c>
      <c r="G19" s="275">
        <f>'3a-SalesForecastYear1'!G25+('3a-SalesForecastYear1'!G25*$C$7)</f>
        <v>0</v>
      </c>
      <c r="H19" s="275">
        <f>'3a-SalesForecastYear1'!H25+('3a-SalesForecastYear1'!H25*$C$7)</f>
        <v>0</v>
      </c>
      <c r="I19" s="275">
        <f>'3a-SalesForecastYear1'!I25+('3a-SalesForecastYear1'!I25*$C$7)</f>
        <v>0</v>
      </c>
      <c r="J19" s="275">
        <f>'3a-SalesForecastYear1'!J25+('3a-SalesForecastYear1'!J25*$C$7)</f>
        <v>0</v>
      </c>
      <c r="K19" s="275">
        <f>'3a-SalesForecastYear1'!K25+('3a-SalesForecastYear1'!K25*$C$7)</f>
        <v>0</v>
      </c>
      <c r="L19" s="275">
        <f>'3a-SalesForecastYear1'!L25+('3a-SalesForecastYear1'!L25*$C$7)</f>
        <v>0</v>
      </c>
      <c r="M19" s="275">
        <f>'3a-SalesForecastYear1'!M25+('3a-SalesForecastYear1'!M25*$C$7)</f>
        <v>0</v>
      </c>
      <c r="N19" s="275">
        <f>'3a-SalesForecastYear1'!N25+('3a-SalesForecastYear1'!N25*$C$7)</f>
        <v>0</v>
      </c>
      <c r="O19" s="246">
        <f>SUM(C19:N19)</f>
        <v>0</v>
      </c>
      <c r="P19" s="234">
        <f>(P20+P21)</f>
        <v>0</v>
      </c>
      <c r="Q19" s="230">
        <f>IF($O$53=0,0,O19/$O$53)</f>
        <v>0</v>
      </c>
      <c r="R19" s="276">
        <f>C19+(C19*$C$8)</f>
        <v>0</v>
      </c>
      <c r="S19" s="276">
        <f t="shared" si="3"/>
        <v>0</v>
      </c>
      <c r="T19" s="276">
        <f t="shared" si="3"/>
        <v>0</v>
      </c>
      <c r="U19" s="276">
        <f t="shared" si="3"/>
        <v>0</v>
      </c>
      <c r="V19" s="276">
        <f t="shared" si="3"/>
        <v>0</v>
      </c>
      <c r="W19" s="276">
        <f t="shared" si="3"/>
        <v>0</v>
      </c>
      <c r="X19" s="276">
        <f t="shared" si="3"/>
        <v>0</v>
      </c>
      <c r="Y19" s="276">
        <f t="shared" si="3"/>
        <v>0</v>
      </c>
      <c r="Z19" s="276">
        <f t="shared" si="3"/>
        <v>0</v>
      </c>
      <c r="AA19" s="276">
        <f t="shared" si="3"/>
        <v>0</v>
      </c>
      <c r="AB19" s="276">
        <f t="shared" si="3"/>
        <v>0</v>
      </c>
      <c r="AC19" s="276">
        <f t="shared" si="3"/>
        <v>0</v>
      </c>
      <c r="AD19" s="246">
        <f>SUM(R19:AC19)</f>
        <v>0</v>
      </c>
      <c r="AE19" s="234">
        <f>(AE20+AE21)</f>
        <v>0</v>
      </c>
      <c r="AF19" s="230">
        <f>IF($O$53=0,0,AD19/$O$53)</f>
        <v>0</v>
      </c>
    </row>
    <row r="20" spans="1:32" x14ac:dyDescent="0.35">
      <c r="A20" s="245" t="s">
        <v>103</v>
      </c>
      <c r="B20" s="278">
        <f>'3a-SalesForecastYear1'!O26</f>
        <v>0</v>
      </c>
      <c r="C20" s="275">
        <f>'3a-SalesForecastYear1'!C26+('3a-SalesForecastYear1'!C26*$C$7)</f>
        <v>0</v>
      </c>
      <c r="D20" s="275">
        <f>'3a-SalesForecastYear1'!D26+('3a-SalesForecastYear1'!D26*$C$7)</f>
        <v>0</v>
      </c>
      <c r="E20" s="275">
        <f>'3a-SalesForecastYear1'!E26+('3a-SalesForecastYear1'!E26*$C$7)</f>
        <v>0</v>
      </c>
      <c r="F20" s="275">
        <f>'3a-SalesForecastYear1'!F26+('3a-SalesForecastYear1'!F26*$C$7)</f>
        <v>0</v>
      </c>
      <c r="G20" s="275">
        <f>'3a-SalesForecastYear1'!G26+('3a-SalesForecastYear1'!G26*$C$7)</f>
        <v>0</v>
      </c>
      <c r="H20" s="275">
        <f>'3a-SalesForecastYear1'!H26+('3a-SalesForecastYear1'!H26*$C$7)</f>
        <v>0</v>
      </c>
      <c r="I20" s="275">
        <f>'3a-SalesForecastYear1'!I26+('3a-SalesForecastYear1'!I26*$C$7)</f>
        <v>0</v>
      </c>
      <c r="J20" s="275">
        <f>'3a-SalesForecastYear1'!J26+('3a-SalesForecastYear1'!J26*$C$7)</f>
        <v>0</v>
      </c>
      <c r="K20" s="275">
        <f>'3a-SalesForecastYear1'!K26+('3a-SalesForecastYear1'!K26*$C$7)</f>
        <v>0</v>
      </c>
      <c r="L20" s="275">
        <f>'3a-SalesForecastYear1'!L26+('3a-SalesForecastYear1'!L26*$C$7)</f>
        <v>0</v>
      </c>
      <c r="M20" s="275">
        <f>'3a-SalesForecastYear1'!M26+('3a-SalesForecastYear1'!M26*$C$7)</f>
        <v>0</v>
      </c>
      <c r="N20" s="275">
        <f>'3a-SalesForecastYear1'!N26+('3a-SalesForecastYear1'!N26*$C$7)</f>
        <v>0</v>
      </c>
      <c r="O20" s="246">
        <f>SUM(C20:N20)</f>
        <v>0</v>
      </c>
      <c r="P20" s="234">
        <f>IF(O19=0,0,O20/O19)</f>
        <v>0</v>
      </c>
      <c r="Q20" s="230">
        <f>IF($O$54=0,0,O20/$O$54)</f>
        <v>0</v>
      </c>
      <c r="R20" s="276">
        <f>C20+(C20*$C$8)</f>
        <v>0</v>
      </c>
      <c r="S20" s="276">
        <f t="shared" si="3"/>
        <v>0</v>
      </c>
      <c r="T20" s="276">
        <f t="shared" si="3"/>
        <v>0</v>
      </c>
      <c r="U20" s="276">
        <f t="shared" si="3"/>
        <v>0</v>
      </c>
      <c r="V20" s="276">
        <f t="shared" si="3"/>
        <v>0</v>
      </c>
      <c r="W20" s="276">
        <f t="shared" si="3"/>
        <v>0</v>
      </c>
      <c r="X20" s="276">
        <f t="shared" si="3"/>
        <v>0</v>
      </c>
      <c r="Y20" s="276">
        <f t="shared" si="3"/>
        <v>0</v>
      </c>
      <c r="Z20" s="276">
        <f t="shared" si="3"/>
        <v>0</v>
      </c>
      <c r="AA20" s="276">
        <f t="shared" si="3"/>
        <v>0</v>
      </c>
      <c r="AB20" s="276">
        <f t="shared" si="3"/>
        <v>0</v>
      </c>
      <c r="AC20" s="276">
        <f t="shared" si="3"/>
        <v>0</v>
      </c>
      <c r="AD20" s="246">
        <f>SUM(R20:AC20)</f>
        <v>0</v>
      </c>
      <c r="AE20" s="234">
        <f>IF(AD19=0,0,AD20/AD19)</f>
        <v>0</v>
      </c>
      <c r="AF20" s="230">
        <f>IF($O$54=0,0,AD20/$O$54)</f>
        <v>0</v>
      </c>
    </row>
    <row r="21" spans="1:32" s="119" customFormat="1" x14ac:dyDescent="0.35">
      <c r="A21" s="235" t="s">
        <v>105</v>
      </c>
      <c r="B21" s="279">
        <f>'3a-SalesForecastYear1'!O27</f>
        <v>0</v>
      </c>
      <c r="C21" s="275">
        <f>C19-C20</f>
        <v>0</v>
      </c>
      <c r="D21" s="275">
        <f t="shared" ref="D21:N21" si="4">D19-D20</f>
        <v>0</v>
      </c>
      <c r="E21" s="275">
        <f t="shared" si="4"/>
        <v>0</v>
      </c>
      <c r="F21" s="275">
        <f t="shared" si="4"/>
        <v>0</v>
      </c>
      <c r="G21" s="275">
        <f t="shared" si="4"/>
        <v>0</v>
      </c>
      <c r="H21" s="275">
        <f t="shared" si="4"/>
        <v>0</v>
      </c>
      <c r="I21" s="275">
        <f t="shared" si="4"/>
        <v>0</v>
      </c>
      <c r="J21" s="275">
        <f t="shared" si="4"/>
        <v>0</v>
      </c>
      <c r="K21" s="275">
        <f t="shared" si="4"/>
        <v>0</v>
      </c>
      <c r="L21" s="275">
        <f t="shared" si="4"/>
        <v>0</v>
      </c>
      <c r="M21" s="275">
        <f t="shared" si="4"/>
        <v>0</v>
      </c>
      <c r="N21" s="275">
        <f t="shared" si="4"/>
        <v>0</v>
      </c>
      <c r="O21" s="246">
        <f>SUM(C21:N21)</f>
        <v>0</v>
      </c>
      <c r="P21" s="234">
        <f>IF(O19=0,0,O21/O19)</f>
        <v>0</v>
      </c>
      <c r="Q21" s="230">
        <f>IF($O$55=0,0,O21/$O$55)</f>
        <v>0</v>
      </c>
      <c r="R21" s="276">
        <f>R19-R20</f>
        <v>0</v>
      </c>
      <c r="S21" s="276">
        <f t="shared" ref="S21:AC21" si="5">S19-S20</f>
        <v>0</v>
      </c>
      <c r="T21" s="276">
        <f t="shared" si="5"/>
        <v>0</v>
      </c>
      <c r="U21" s="276">
        <f t="shared" si="5"/>
        <v>0</v>
      </c>
      <c r="V21" s="276">
        <f t="shared" si="5"/>
        <v>0</v>
      </c>
      <c r="W21" s="276">
        <f t="shared" si="5"/>
        <v>0</v>
      </c>
      <c r="X21" s="276">
        <f t="shared" si="5"/>
        <v>0</v>
      </c>
      <c r="Y21" s="276">
        <f t="shared" si="5"/>
        <v>0</v>
      </c>
      <c r="Z21" s="276">
        <f t="shared" si="5"/>
        <v>0</v>
      </c>
      <c r="AA21" s="276">
        <f t="shared" si="5"/>
        <v>0</v>
      </c>
      <c r="AB21" s="276">
        <f t="shared" si="5"/>
        <v>0</v>
      </c>
      <c r="AC21" s="276">
        <f t="shared" si="5"/>
        <v>0</v>
      </c>
      <c r="AD21" s="246">
        <f>SUM(R21:AC21)</f>
        <v>0</v>
      </c>
      <c r="AE21" s="234">
        <f>IF(AD19=0,0,AD21/AD19)</f>
        <v>0</v>
      </c>
      <c r="AF21" s="230">
        <f>IF($O$55=0,0,AD21/$O$55)</f>
        <v>0</v>
      </c>
    </row>
    <row r="22" spans="1:32" s="119" customFormat="1" x14ac:dyDescent="0.35">
      <c r="A22" s="237"/>
      <c r="B22" s="277"/>
      <c r="C22" s="239"/>
      <c r="D22" s="239"/>
      <c r="E22" s="239"/>
      <c r="F22" s="239"/>
      <c r="G22" s="239"/>
      <c r="H22" s="239"/>
      <c r="I22" s="239"/>
      <c r="J22" s="239"/>
      <c r="K22" s="239"/>
      <c r="L22" s="239"/>
      <c r="M22" s="239"/>
      <c r="N22" s="239"/>
      <c r="O22" s="240"/>
      <c r="P22" s="138"/>
      <c r="Q22" s="241"/>
      <c r="R22" s="239"/>
      <c r="S22" s="239"/>
      <c r="T22" s="239"/>
      <c r="U22" s="239"/>
      <c r="V22" s="239"/>
      <c r="W22" s="239"/>
      <c r="X22" s="239"/>
      <c r="Y22" s="239"/>
      <c r="Z22" s="239"/>
      <c r="AA22" s="239"/>
      <c r="AB22" s="239"/>
      <c r="AC22" s="239"/>
      <c r="AD22" s="240"/>
      <c r="AE22" s="138"/>
      <c r="AF22" s="241"/>
    </row>
    <row r="23" spans="1:32" x14ac:dyDescent="0.35">
      <c r="A23" s="224" t="str">
        <f>'3a-SalesForecastYear1'!B29</f>
        <v>Product 3</v>
      </c>
      <c r="B23" s="224"/>
      <c r="C23" s="247"/>
      <c r="D23" s="247"/>
      <c r="E23" s="247"/>
      <c r="F23" s="248"/>
      <c r="G23" s="248"/>
      <c r="H23" s="248"/>
      <c r="I23" s="248"/>
      <c r="J23" s="248"/>
      <c r="K23" s="248"/>
      <c r="L23" s="248"/>
      <c r="M23" s="248"/>
      <c r="N23" s="248"/>
      <c r="O23" s="226"/>
      <c r="P23" s="138"/>
      <c r="Q23" s="241"/>
      <c r="R23" s="247"/>
      <c r="S23" s="247"/>
      <c r="T23" s="247"/>
      <c r="U23" s="248"/>
      <c r="V23" s="248"/>
      <c r="W23" s="248"/>
      <c r="X23" s="248"/>
      <c r="Y23" s="248"/>
      <c r="Z23" s="248"/>
      <c r="AA23" s="248"/>
      <c r="AB23" s="248"/>
      <c r="AC23" s="248"/>
      <c r="AD23" s="226"/>
      <c r="AE23" s="138"/>
      <c r="AF23" s="241"/>
    </row>
    <row r="24" spans="1:32" s="118" customFormat="1" x14ac:dyDescent="0.35">
      <c r="A24" s="227" t="str">
        <f>Unit3&amp; " Sold"</f>
        <v xml:space="preserve"> Sold</v>
      </c>
      <c r="B24" s="227">
        <f>Unit3_Annual</f>
        <v>0</v>
      </c>
      <c r="C24" s="272">
        <f>'3a-SalesForecastYear1'!C30+ ('3a-SalesForecastYear1'!C30*$C$7)</f>
        <v>0</v>
      </c>
      <c r="D24" s="272">
        <f>'3a-SalesForecastYear1'!D30+ ('3a-SalesForecastYear1'!D30*$C$7)</f>
        <v>0</v>
      </c>
      <c r="E24" s="272">
        <f>'3a-SalesForecastYear1'!E30+ ('3a-SalesForecastYear1'!E30*$C$7)</f>
        <v>0</v>
      </c>
      <c r="F24" s="272">
        <f>'3a-SalesForecastYear1'!F30+ ('3a-SalesForecastYear1'!F30*$C$7)</f>
        <v>0</v>
      </c>
      <c r="G24" s="272">
        <f>'3a-SalesForecastYear1'!G30+ ('3a-SalesForecastYear1'!G30*$C$7)</f>
        <v>0</v>
      </c>
      <c r="H24" s="272">
        <f>'3a-SalesForecastYear1'!H30+ ('3a-SalesForecastYear1'!H30*$C$7)</f>
        <v>0</v>
      </c>
      <c r="I24" s="272">
        <f>'3a-SalesForecastYear1'!I30+ ('3a-SalesForecastYear1'!I30*$C$7)</f>
        <v>0</v>
      </c>
      <c r="J24" s="272">
        <f>'3a-SalesForecastYear1'!J30+ ('3a-SalesForecastYear1'!J30*$C$7)</f>
        <v>0</v>
      </c>
      <c r="K24" s="272">
        <f>'3a-SalesForecastYear1'!K30+ ('3a-SalesForecastYear1'!K30*$C$7)</f>
        <v>0</v>
      </c>
      <c r="L24" s="272">
        <f>'3a-SalesForecastYear1'!L30+ ('3a-SalesForecastYear1'!L30*$C$7)</f>
        <v>0</v>
      </c>
      <c r="M24" s="272">
        <f>'3a-SalesForecastYear1'!M30+ ('3a-SalesForecastYear1'!M30*$C$7)</f>
        <v>0</v>
      </c>
      <c r="N24" s="272">
        <f>'3a-SalesForecastYear1'!N30+ ('3a-SalesForecastYear1'!N30*$C$7)</f>
        <v>0</v>
      </c>
      <c r="O24" s="244">
        <f>SUM(C24:N24)</f>
        <v>0</v>
      </c>
      <c r="P24" s="138"/>
      <c r="Q24" s="230">
        <f>IF($O$52=0,0,O24/$O$52)</f>
        <v>0</v>
      </c>
      <c r="R24" s="273">
        <f>C24+(C24*$C$8)</f>
        <v>0</v>
      </c>
      <c r="S24" s="273">
        <f t="shared" ref="S24:AC26" si="6">D24+(D24*$C$8)</f>
        <v>0</v>
      </c>
      <c r="T24" s="273">
        <f t="shared" si="6"/>
        <v>0</v>
      </c>
      <c r="U24" s="273">
        <f t="shared" si="6"/>
        <v>0</v>
      </c>
      <c r="V24" s="273">
        <f t="shared" si="6"/>
        <v>0</v>
      </c>
      <c r="W24" s="273">
        <f t="shared" si="6"/>
        <v>0</v>
      </c>
      <c r="X24" s="273">
        <f t="shared" si="6"/>
        <v>0</v>
      </c>
      <c r="Y24" s="273">
        <f t="shared" si="6"/>
        <v>0</v>
      </c>
      <c r="Z24" s="273">
        <f t="shared" si="6"/>
        <v>0</v>
      </c>
      <c r="AA24" s="273">
        <f t="shared" si="6"/>
        <v>0</v>
      </c>
      <c r="AB24" s="273">
        <f t="shared" si="6"/>
        <v>0</v>
      </c>
      <c r="AC24" s="273">
        <f t="shared" si="6"/>
        <v>0</v>
      </c>
      <c r="AD24" s="244">
        <f>SUM(R24:AC24)</f>
        <v>0</v>
      </c>
      <c r="AE24" s="138"/>
      <c r="AF24" s="230">
        <f>IF($O$52=0,0,AD24/$O$52)</f>
        <v>0</v>
      </c>
    </row>
    <row r="25" spans="1:32" x14ac:dyDescent="0.35">
      <c r="A25" s="245" t="s">
        <v>102</v>
      </c>
      <c r="B25" s="280">
        <f>Category3_Annual_Sales</f>
        <v>0</v>
      </c>
      <c r="C25" s="275">
        <f>'3a-SalesForecastYear1'!C31+ ('3a-SalesForecastYear1'!C31*$C$7)</f>
        <v>0</v>
      </c>
      <c r="D25" s="275">
        <f>'3a-SalesForecastYear1'!D31+ ('3a-SalesForecastYear1'!D31*$C$7)</f>
        <v>0</v>
      </c>
      <c r="E25" s="275">
        <f>'3a-SalesForecastYear1'!E31+ ('3a-SalesForecastYear1'!E31*$C$7)</f>
        <v>0</v>
      </c>
      <c r="F25" s="275">
        <f>'3a-SalesForecastYear1'!F31+ ('3a-SalesForecastYear1'!F31*$C$7)</f>
        <v>0</v>
      </c>
      <c r="G25" s="275">
        <f>'3a-SalesForecastYear1'!G31+ ('3a-SalesForecastYear1'!G31*$C$7)</f>
        <v>0</v>
      </c>
      <c r="H25" s="275">
        <f>'3a-SalesForecastYear1'!H31+ ('3a-SalesForecastYear1'!H31*$C$7)</f>
        <v>0</v>
      </c>
      <c r="I25" s="275">
        <f>'3a-SalesForecastYear1'!I31+ ('3a-SalesForecastYear1'!I31*$C$7)</f>
        <v>0</v>
      </c>
      <c r="J25" s="275">
        <f>'3a-SalesForecastYear1'!J31+ ('3a-SalesForecastYear1'!J31*$C$7)</f>
        <v>0</v>
      </c>
      <c r="K25" s="275">
        <f>'3a-SalesForecastYear1'!K31+ ('3a-SalesForecastYear1'!K31*$C$7)</f>
        <v>0</v>
      </c>
      <c r="L25" s="275">
        <f>'3a-SalesForecastYear1'!L31+ ('3a-SalesForecastYear1'!L31*$C$7)</f>
        <v>0</v>
      </c>
      <c r="M25" s="275">
        <f>'3a-SalesForecastYear1'!M31+ ('3a-SalesForecastYear1'!M31*$C$7)</f>
        <v>0</v>
      </c>
      <c r="N25" s="275">
        <f>'3a-SalesForecastYear1'!N31+ ('3a-SalesForecastYear1'!N31*$C$7)</f>
        <v>0</v>
      </c>
      <c r="O25" s="246">
        <f>SUM(C25:N25)</f>
        <v>0</v>
      </c>
      <c r="P25" s="234">
        <f>(P26+P27)</f>
        <v>0</v>
      </c>
      <c r="Q25" s="230">
        <f>IF($O$53=0,0,O25/$O$53)</f>
        <v>0</v>
      </c>
      <c r="R25" s="276">
        <f>C25+(C25*$C$8)</f>
        <v>0</v>
      </c>
      <c r="S25" s="276">
        <f t="shared" si="6"/>
        <v>0</v>
      </c>
      <c r="T25" s="276">
        <f t="shared" si="6"/>
        <v>0</v>
      </c>
      <c r="U25" s="276">
        <f t="shared" si="6"/>
        <v>0</v>
      </c>
      <c r="V25" s="276">
        <f t="shared" si="6"/>
        <v>0</v>
      </c>
      <c r="W25" s="276">
        <f t="shared" si="6"/>
        <v>0</v>
      </c>
      <c r="X25" s="276">
        <f t="shared" si="6"/>
        <v>0</v>
      </c>
      <c r="Y25" s="276">
        <f t="shared" si="6"/>
        <v>0</v>
      </c>
      <c r="Z25" s="276">
        <f t="shared" si="6"/>
        <v>0</v>
      </c>
      <c r="AA25" s="276">
        <f t="shared" si="6"/>
        <v>0</v>
      </c>
      <c r="AB25" s="276">
        <f t="shared" si="6"/>
        <v>0</v>
      </c>
      <c r="AC25" s="276">
        <f t="shared" si="6"/>
        <v>0</v>
      </c>
      <c r="AD25" s="246">
        <f>SUM(R25:AC25)</f>
        <v>0</v>
      </c>
      <c r="AE25" s="234">
        <f>(AE26+AE27)</f>
        <v>0</v>
      </c>
      <c r="AF25" s="230">
        <f>IF($O$53=0,0,AD25/$O$53)</f>
        <v>0</v>
      </c>
    </row>
    <row r="26" spans="1:32" x14ac:dyDescent="0.35">
      <c r="A26" s="245" t="s">
        <v>103</v>
      </c>
      <c r="B26" s="280">
        <f>'3a-SalesForecastYear1'!O32</f>
        <v>0</v>
      </c>
      <c r="C26" s="275">
        <f>'3a-SalesForecastYear1'!C32+ ('3a-SalesForecastYear1'!C32*$C$7)</f>
        <v>0</v>
      </c>
      <c r="D26" s="275">
        <f>'3a-SalesForecastYear1'!D32+ ('3a-SalesForecastYear1'!D32*$C$7)</f>
        <v>0</v>
      </c>
      <c r="E26" s="275">
        <f>'3a-SalesForecastYear1'!E32+ ('3a-SalesForecastYear1'!E32*$C$7)</f>
        <v>0</v>
      </c>
      <c r="F26" s="275">
        <f>'3a-SalesForecastYear1'!F32+ ('3a-SalesForecastYear1'!F32*$C$7)</f>
        <v>0</v>
      </c>
      <c r="G26" s="275">
        <f>'3a-SalesForecastYear1'!G32+ ('3a-SalesForecastYear1'!G32*$C$7)</f>
        <v>0</v>
      </c>
      <c r="H26" s="275">
        <f>'3a-SalesForecastYear1'!H32+ ('3a-SalesForecastYear1'!H32*$C$7)</f>
        <v>0</v>
      </c>
      <c r="I26" s="275">
        <f>'3a-SalesForecastYear1'!I32+ ('3a-SalesForecastYear1'!I32*$C$7)</f>
        <v>0</v>
      </c>
      <c r="J26" s="275">
        <f>'3a-SalesForecastYear1'!J32+ ('3a-SalesForecastYear1'!J32*$C$7)</f>
        <v>0</v>
      </c>
      <c r="K26" s="275">
        <f>'3a-SalesForecastYear1'!K32+ ('3a-SalesForecastYear1'!K32*$C$7)</f>
        <v>0</v>
      </c>
      <c r="L26" s="275">
        <f>'3a-SalesForecastYear1'!L32+ ('3a-SalesForecastYear1'!L32*$C$7)</f>
        <v>0</v>
      </c>
      <c r="M26" s="275">
        <f>'3a-SalesForecastYear1'!M32+ ('3a-SalesForecastYear1'!M32*$C$7)</f>
        <v>0</v>
      </c>
      <c r="N26" s="275">
        <f>'3a-SalesForecastYear1'!N32+ ('3a-SalesForecastYear1'!N32*$C$7)</f>
        <v>0</v>
      </c>
      <c r="O26" s="246">
        <f>SUM(C26:N26)</f>
        <v>0</v>
      </c>
      <c r="P26" s="234">
        <f>IF(O25=0,0,O26/O25)</f>
        <v>0</v>
      </c>
      <c r="Q26" s="230">
        <f>IF($O$54=0,0,O26/$O$54)</f>
        <v>0</v>
      </c>
      <c r="R26" s="276">
        <f>C26+(C26*$C$8)</f>
        <v>0</v>
      </c>
      <c r="S26" s="276">
        <f t="shared" si="6"/>
        <v>0</v>
      </c>
      <c r="T26" s="276">
        <f t="shared" si="6"/>
        <v>0</v>
      </c>
      <c r="U26" s="276">
        <f t="shared" si="6"/>
        <v>0</v>
      </c>
      <c r="V26" s="276">
        <f t="shared" si="6"/>
        <v>0</v>
      </c>
      <c r="W26" s="276">
        <f t="shared" si="6"/>
        <v>0</v>
      </c>
      <c r="X26" s="276">
        <f t="shared" si="6"/>
        <v>0</v>
      </c>
      <c r="Y26" s="276">
        <f t="shared" si="6"/>
        <v>0</v>
      </c>
      <c r="Z26" s="276">
        <f t="shared" si="6"/>
        <v>0</v>
      </c>
      <c r="AA26" s="276">
        <f t="shared" si="6"/>
        <v>0</v>
      </c>
      <c r="AB26" s="276">
        <f t="shared" si="6"/>
        <v>0</v>
      </c>
      <c r="AC26" s="276">
        <f t="shared" si="6"/>
        <v>0</v>
      </c>
      <c r="AD26" s="246">
        <f>SUM(R26:AC26)</f>
        <v>0</v>
      </c>
      <c r="AE26" s="234">
        <f>IF(AD25=0,0,AD26/AD25)</f>
        <v>0</v>
      </c>
      <c r="AF26" s="230">
        <f>IF($O$54=0,0,AD26/$O$54)</f>
        <v>0</v>
      </c>
    </row>
    <row r="27" spans="1:32" x14ac:dyDescent="0.35">
      <c r="A27" s="235" t="s">
        <v>105</v>
      </c>
      <c r="B27" s="279">
        <f>'3a-SalesForecastYear1'!O33</f>
        <v>0</v>
      </c>
      <c r="C27" s="275">
        <f>C25-C26</f>
        <v>0</v>
      </c>
      <c r="D27" s="275">
        <f t="shared" ref="D27:N27" si="7">D25-D26</f>
        <v>0</v>
      </c>
      <c r="E27" s="275">
        <f t="shared" si="7"/>
        <v>0</v>
      </c>
      <c r="F27" s="275">
        <f t="shared" si="7"/>
        <v>0</v>
      </c>
      <c r="G27" s="275">
        <f t="shared" si="7"/>
        <v>0</v>
      </c>
      <c r="H27" s="275">
        <f t="shared" si="7"/>
        <v>0</v>
      </c>
      <c r="I27" s="275">
        <f t="shared" si="7"/>
        <v>0</v>
      </c>
      <c r="J27" s="275">
        <f t="shared" si="7"/>
        <v>0</v>
      </c>
      <c r="K27" s="275">
        <f t="shared" si="7"/>
        <v>0</v>
      </c>
      <c r="L27" s="275">
        <f t="shared" si="7"/>
        <v>0</v>
      </c>
      <c r="M27" s="275">
        <f t="shared" si="7"/>
        <v>0</v>
      </c>
      <c r="N27" s="275">
        <f t="shared" si="7"/>
        <v>0</v>
      </c>
      <c r="O27" s="246">
        <f>SUM(C27:N27)</f>
        <v>0</v>
      </c>
      <c r="P27" s="234">
        <f>IF(O25=0,0,O27/O25)</f>
        <v>0</v>
      </c>
      <c r="Q27" s="230">
        <f>IF($O$55=0,0,O27/$O$55)</f>
        <v>0</v>
      </c>
      <c r="R27" s="276">
        <f>R25-R26</f>
        <v>0</v>
      </c>
      <c r="S27" s="276">
        <f t="shared" ref="S27:AC27" si="8">S25-S26</f>
        <v>0</v>
      </c>
      <c r="T27" s="276">
        <f t="shared" si="8"/>
        <v>0</v>
      </c>
      <c r="U27" s="276">
        <f t="shared" si="8"/>
        <v>0</v>
      </c>
      <c r="V27" s="276">
        <f t="shared" si="8"/>
        <v>0</v>
      </c>
      <c r="W27" s="276">
        <f t="shared" si="8"/>
        <v>0</v>
      </c>
      <c r="X27" s="276">
        <f t="shared" si="8"/>
        <v>0</v>
      </c>
      <c r="Y27" s="276">
        <f t="shared" si="8"/>
        <v>0</v>
      </c>
      <c r="Z27" s="276">
        <f t="shared" si="8"/>
        <v>0</v>
      </c>
      <c r="AA27" s="276">
        <f t="shared" si="8"/>
        <v>0</v>
      </c>
      <c r="AB27" s="276">
        <f t="shared" si="8"/>
        <v>0</v>
      </c>
      <c r="AC27" s="276">
        <f t="shared" si="8"/>
        <v>0</v>
      </c>
      <c r="AD27" s="246">
        <f>SUM(R27:AC27)</f>
        <v>0</v>
      </c>
      <c r="AE27" s="234">
        <f>IF(AD25=0,0,AD27/AD25)</f>
        <v>0</v>
      </c>
      <c r="AF27" s="230">
        <f>IF($O$55=0,0,AD27/$O$55)</f>
        <v>0</v>
      </c>
    </row>
    <row r="28" spans="1:32" s="119" customFormat="1" x14ac:dyDescent="0.35">
      <c r="A28" s="250"/>
      <c r="B28" s="281"/>
      <c r="C28" s="239"/>
      <c r="D28" s="239"/>
      <c r="E28" s="239"/>
      <c r="F28" s="239"/>
      <c r="G28" s="239"/>
      <c r="H28" s="239"/>
      <c r="I28" s="239"/>
      <c r="J28" s="239"/>
      <c r="K28" s="239"/>
      <c r="L28" s="239"/>
      <c r="M28" s="239"/>
      <c r="N28" s="239"/>
      <c r="O28" s="240"/>
      <c r="P28" s="138"/>
      <c r="Q28" s="241"/>
      <c r="R28" s="239"/>
      <c r="S28" s="239"/>
      <c r="T28" s="239"/>
      <c r="U28" s="239"/>
      <c r="V28" s="239"/>
      <c r="W28" s="239"/>
      <c r="X28" s="239"/>
      <c r="Y28" s="239"/>
      <c r="Z28" s="239"/>
      <c r="AA28" s="239"/>
      <c r="AB28" s="239"/>
      <c r="AC28" s="239"/>
      <c r="AD28" s="240"/>
      <c r="AE28" s="138"/>
      <c r="AF28" s="241"/>
    </row>
    <row r="29" spans="1:32" s="118" customFormat="1" x14ac:dyDescent="0.35">
      <c r="A29" s="224" t="str">
        <f>'3a-SalesForecastYear1'!B35</f>
        <v>Product 4</v>
      </c>
      <c r="B29" s="224"/>
      <c r="C29" s="243"/>
      <c r="D29" s="243"/>
      <c r="E29" s="243"/>
      <c r="F29" s="243"/>
      <c r="G29" s="243"/>
      <c r="H29" s="243"/>
      <c r="I29" s="243"/>
      <c r="J29" s="243"/>
      <c r="K29" s="243"/>
      <c r="L29" s="243"/>
      <c r="M29" s="243"/>
      <c r="N29" s="243"/>
      <c r="O29" s="226"/>
      <c r="P29" s="138"/>
      <c r="Q29" s="241"/>
      <c r="R29" s="243"/>
      <c r="S29" s="243"/>
      <c r="T29" s="243"/>
      <c r="U29" s="243"/>
      <c r="V29" s="243"/>
      <c r="W29" s="243"/>
      <c r="X29" s="243"/>
      <c r="Y29" s="243"/>
      <c r="Z29" s="243"/>
      <c r="AA29" s="243"/>
      <c r="AB29" s="243"/>
      <c r="AC29" s="243"/>
      <c r="AD29" s="226"/>
      <c r="AE29" s="138"/>
      <c r="AF29" s="241"/>
    </row>
    <row r="30" spans="1:32" x14ac:dyDescent="0.35">
      <c r="A30" s="227" t="str">
        <f>Unit4&amp; " Sold"</f>
        <v xml:space="preserve"> Sold</v>
      </c>
      <c r="B30" s="227">
        <f>Unit4_Annual</f>
        <v>0</v>
      </c>
      <c r="C30" s="282">
        <f>'3a-SalesForecastYear1'!C36+('3a-SalesForecastYear1'!C36*$C$7)</f>
        <v>0</v>
      </c>
      <c r="D30" s="282">
        <f>'3a-SalesForecastYear1'!D36+('3a-SalesForecastYear1'!D36*$C$7)</f>
        <v>0</v>
      </c>
      <c r="E30" s="282">
        <f>'3a-SalesForecastYear1'!E36+('3a-SalesForecastYear1'!E36*$C$7)</f>
        <v>0</v>
      </c>
      <c r="F30" s="282">
        <f>'3a-SalesForecastYear1'!F36+('3a-SalesForecastYear1'!F36*$C$7)</f>
        <v>0</v>
      </c>
      <c r="G30" s="282">
        <f>'3a-SalesForecastYear1'!G36+('3a-SalesForecastYear1'!G36*$C$7)</f>
        <v>0</v>
      </c>
      <c r="H30" s="282">
        <f>'3a-SalesForecastYear1'!H36+('3a-SalesForecastYear1'!H36*$C$7)</f>
        <v>0</v>
      </c>
      <c r="I30" s="282">
        <f>'3a-SalesForecastYear1'!I36+('3a-SalesForecastYear1'!I36*$C$7)</f>
        <v>0</v>
      </c>
      <c r="J30" s="282">
        <f>'3a-SalesForecastYear1'!J36+('3a-SalesForecastYear1'!J36*$C$7)</f>
        <v>0</v>
      </c>
      <c r="K30" s="282">
        <f>'3a-SalesForecastYear1'!K36+('3a-SalesForecastYear1'!K36*$C$7)</f>
        <v>0</v>
      </c>
      <c r="L30" s="282">
        <f>'3a-SalesForecastYear1'!L36+('3a-SalesForecastYear1'!L36*$C$7)</f>
        <v>0</v>
      </c>
      <c r="M30" s="282">
        <f>'3a-SalesForecastYear1'!M36+('3a-SalesForecastYear1'!M36*$C$7)</f>
        <v>0</v>
      </c>
      <c r="N30" s="282">
        <f>'3a-SalesForecastYear1'!N36+('3a-SalesForecastYear1'!N36*$C$7)</f>
        <v>0</v>
      </c>
      <c r="O30" s="244">
        <f>SUM(C30:N30)</f>
        <v>0</v>
      </c>
      <c r="P30" s="138"/>
      <c r="Q30" s="230">
        <f>IF($O$52=0,0,O30/$O$52)</f>
        <v>0</v>
      </c>
      <c r="R30" s="283">
        <f>C30+(C30*$C$8)</f>
        <v>0</v>
      </c>
      <c r="S30" s="283">
        <f t="shared" ref="S30:AC32" si="9">D30+(D30*$C$8)</f>
        <v>0</v>
      </c>
      <c r="T30" s="283">
        <f t="shared" si="9"/>
        <v>0</v>
      </c>
      <c r="U30" s="283">
        <f t="shared" si="9"/>
        <v>0</v>
      </c>
      <c r="V30" s="283">
        <f t="shared" si="9"/>
        <v>0</v>
      </c>
      <c r="W30" s="283">
        <f t="shared" si="9"/>
        <v>0</v>
      </c>
      <c r="X30" s="283">
        <f t="shared" si="9"/>
        <v>0</v>
      </c>
      <c r="Y30" s="283">
        <f t="shared" si="9"/>
        <v>0</v>
      </c>
      <c r="Z30" s="283">
        <f t="shared" si="9"/>
        <v>0</v>
      </c>
      <c r="AA30" s="283">
        <f t="shared" si="9"/>
        <v>0</v>
      </c>
      <c r="AB30" s="283">
        <f t="shared" si="9"/>
        <v>0</v>
      </c>
      <c r="AC30" s="283">
        <f t="shared" si="9"/>
        <v>0</v>
      </c>
      <c r="AD30" s="244">
        <f>SUM(R30:AC30)</f>
        <v>0</v>
      </c>
      <c r="AE30" s="138"/>
      <c r="AF30" s="230">
        <f>IF($O$52=0,0,AD30/$O$52)</f>
        <v>0</v>
      </c>
    </row>
    <row r="31" spans="1:32" x14ac:dyDescent="0.35">
      <c r="A31" s="245" t="s">
        <v>102</v>
      </c>
      <c r="B31" s="245">
        <f>Category4_Annual_Sales</f>
        <v>0</v>
      </c>
      <c r="C31" s="284">
        <f>'3a-SalesForecastYear1'!C37+('3a-SalesForecastYear1'!C37*$C$7)</f>
        <v>0</v>
      </c>
      <c r="D31" s="284">
        <f>'3a-SalesForecastYear1'!D37+('3a-SalesForecastYear1'!D37*$C$7)</f>
        <v>0</v>
      </c>
      <c r="E31" s="284">
        <f>'3a-SalesForecastYear1'!E37+('3a-SalesForecastYear1'!E37*$C$7)</f>
        <v>0</v>
      </c>
      <c r="F31" s="284">
        <f>'3a-SalesForecastYear1'!F37+('3a-SalesForecastYear1'!F37*$C$7)</f>
        <v>0</v>
      </c>
      <c r="G31" s="284">
        <f>'3a-SalesForecastYear1'!G37+('3a-SalesForecastYear1'!G37*$C$7)</f>
        <v>0</v>
      </c>
      <c r="H31" s="284">
        <f>'3a-SalesForecastYear1'!H37+('3a-SalesForecastYear1'!H37*$C$7)</f>
        <v>0</v>
      </c>
      <c r="I31" s="284">
        <f>'3a-SalesForecastYear1'!I37+('3a-SalesForecastYear1'!I37*$C$7)</f>
        <v>0</v>
      </c>
      <c r="J31" s="284">
        <f>'3a-SalesForecastYear1'!J37+('3a-SalesForecastYear1'!J37*$C$7)</f>
        <v>0</v>
      </c>
      <c r="K31" s="284">
        <f>'3a-SalesForecastYear1'!K37+('3a-SalesForecastYear1'!K37*$C$7)</f>
        <v>0</v>
      </c>
      <c r="L31" s="284">
        <f>'3a-SalesForecastYear1'!L37+('3a-SalesForecastYear1'!L37*$C$7)</f>
        <v>0</v>
      </c>
      <c r="M31" s="284">
        <f>'3a-SalesForecastYear1'!M37+('3a-SalesForecastYear1'!M37*$C$7)</f>
        <v>0</v>
      </c>
      <c r="N31" s="284">
        <f>'3a-SalesForecastYear1'!N37+('3a-SalesForecastYear1'!N37*$C$7)</f>
        <v>0</v>
      </c>
      <c r="O31" s="233">
        <f>SUM(C31:N31)</f>
        <v>0</v>
      </c>
      <c r="P31" s="234">
        <f>(P32+P33)</f>
        <v>0</v>
      </c>
      <c r="Q31" s="230">
        <f>IF($O$53=0,0,O31/$O$53)</f>
        <v>0</v>
      </c>
      <c r="R31" s="285">
        <f>C31+(C31*$C$8)</f>
        <v>0</v>
      </c>
      <c r="S31" s="285">
        <f t="shared" si="9"/>
        <v>0</v>
      </c>
      <c r="T31" s="285">
        <f t="shared" si="9"/>
        <v>0</v>
      </c>
      <c r="U31" s="285">
        <f t="shared" si="9"/>
        <v>0</v>
      </c>
      <c r="V31" s="285">
        <f t="shared" si="9"/>
        <v>0</v>
      </c>
      <c r="W31" s="285">
        <f t="shared" si="9"/>
        <v>0</v>
      </c>
      <c r="X31" s="285">
        <f t="shared" si="9"/>
        <v>0</v>
      </c>
      <c r="Y31" s="285">
        <f t="shared" si="9"/>
        <v>0</v>
      </c>
      <c r="Z31" s="285">
        <f t="shared" si="9"/>
        <v>0</v>
      </c>
      <c r="AA31" s="285">
        <f t="shared" si="9"/>
        <v>0</v>
      </c>
      <c r="AB31" s="285">
        <f t="shared" si="9"/>
        <v>0</v>
      </c>
      <c r="AC31" s="285">
        <f t="shared" si="9"/>
        <v>0</v>
      </c>
      <c r="AD31" s="233">
        <f>SUM(R31:AC31)</f>
        <v>0</v>
      </c>
      <c r="AE31" s="234">
        <f>(AE32+AE33)</f>
        <v>0</v>
      </c>
      <c r="AF31" s="230">
        <f>IF($O$53=0,0,AD31/$O$53)</f>
        <v>0</v>
      </c>
    </row>
    <row r="32" spans="1:32" x14ac:dyDescent="0.35">
      <c r="A32" s="245" t="s">
        <v>103</v>
      </c>
      <c r="B32" s="280">
        <f>'3a-SalesForecastYear1'!O38</f>
        <v>0</v>
      </c>
      <c r="C32" s="284">
        <f>'3a-SalesForecastYear1'!C38+('3a-SalesForecastYear1'!C38*$C$7)</f>
        <v>0</v>
      </c>
      <c r="D32" s="284">
        <f>'3a-SalesForecastYear1'!D38+('3a-SalesForecastYear1'!D38*$C$7)</f>
        <v>0</v>
      </c>
      <c r="E32" s="284">
        <f>'3a-SalesForecastYear1'!E38+('3a-SalesForecastYear1'!E38*$C$7)</f>
        <v>0</v>
      </c>
      <c r="F32" s="284">
        <f>'3a-SalesForecastYear1'!F38+('3a-SalesForecastYear1'!F38*$C$7)</f>
        <v>0</v>
      </c>
      <c r="G32" s="284">
        <f>'3a-SalesForecastYear1'!G38+('3a-SalesForecastYear1'!G38*$C$7)</f>
        <v>0</v>
      </c>
      <c r="H32" s="284">
        <f>'3a-SalesForecastYear1'!H38+('3a-SalesForecastYear1'!H38*$C$7)</f>
        <v>0</v>
      </c>
      <c r="I32" s="284">
        <f>'3a-SalesForecastYear1'!I38+('3a-SalesForecastYear1'!I38*$C$7)</f>
        <v>0</v>
      </c>
      <c r="J32" s="284">
        <f>'3a-SalesForecastYear1'!J38+('3a-SalesForecastYear1'!J38*$C$7)</f>
        <v>0</v>
      </c>
      <c r="K32" s="284">
        <f>'3a-SalesForecastYear1'!K38+('3a-SalesForecastYear1'!K38*$C$7)</f>
        <v>0</v>
      </c>
      <c r="L32" s="284">
        <f>'3a-SalesForecastYear1'!L38+('3a-SalesForecastYear1'!L38*$C$7)</f>
        <v>0</v>
      </c>
      <c r="M32" s="284">
        <f>'3a-SalesForecastYear1'!M38+('3a-SalesForecastYear1'!M38*$C$7)</f>
        <v>0</v>
      </c>
      <c r="N32" s="284">
        <f>'3a-SalesForecastYear1'!N38+('3a-SalesForecastYear1'!N38*$C$7)</f>
        <v>0</v>
      </c>
      <c r="O32" s="233">
        <f>SUM(C32:N32)</f>
        <v>0</v>
      </c>
      <c r="P32" s="234">
        <f>IF(O31=0,0,O32/O31)</f>
        <v>0</v>
      </c>
      <c r="Q32" s="230">
        <f>IF($O$54=0,0,O32/$O$54)</f>
        <v>0</v>
      </c>
      <c r="R32" s="285">
        <f>C32+(C32*$C$8)</f>
        <v>0</v>
      </c>
      <c r="S32" s="285">
        <f t="shared" si="9"/>
        <v>0</v>
      </c>
      <c r="T32" s="285">
        <f t="shared" si="9"/>
        <v>0</v>
      </c>
      <c r="U32" s="285">
        <f t="shared" si="9"/>
        <v>0</v>
      </c>
      <c r="V32" s="285">
        <f t="shared" si="9"/>
        <v>0</v>
      </c>
      <c r="W32" s="285">
        <f t="shared" si="9"/>
        <v>0</v>
      </c>
      <c r="X32" s="285">
        <f t="shared" si="9"/>
        <v>0</v>
      </c>
      <c r="Y32" s="285">
        <f t="shared" si="9"/>
        <v>0</v>
      </c>
      <c r="Z32" s="285">
        <f t="shared" si="9"/>
        <v>0</v>
      </c>
      <c r="AA32" s="285">
        <f t="shared" si="9"/>
        <v>0</v>
      </c>
      <c r="AB32" s="285">
        <f t="shared" si="9"/>
        <v>0</v>
      </c>
      <c r="AC32" s="285">
        <f t="shared" si="9"/>
        <v>0</v>
      </c>
      <c r="AD32" s="233">
        <f>SUM(R32:AC32)</f>
        <v>0</v>
      </c>
      <c r="AE32" s="234">
        <f>IF(AD31=0,0,AD32/AD31)</f>
        <v>0</v>
      </c>
      <c r="AF32" s="230">
        <f>IF($O$54=0,0,AD32/$O$54)</f>
        <v>0</v>
      </c>
    </row>
    <row r="33" spans="1:32" s="119" customFormat="1" x14ac:dyDescent="0.35">
      <c r="A33" s="235" t="s">
        <v>105</v>
      </c>
      <c r="B33" s="279">
        <f>'3a-SalesForecastYear1'!O39</f>
        <v>0</v>
      </c>
      <c r="C33" s="284">
        <f>C31-C32</f>
        <v>0</v>
      </c>
      <c r="D33" s="284">
        <f t="shared" ref="D33:N33" si="10">D31-D32</f>
        <v>0</v>
      </c>
      <c r="E33" s="284">
        <f t="shared" si="10"/>
        <v>0</v>
      </c>
      <c r="F33" s="284">
        <f t="shared" si="10"/>
        <v>0</v>
      </c>
      <c r="G33" s="284">
        <f t="shared" si="10"/>
        <v>0</v>
      </c>
      <c r="H33" s="284">
        <f t="shared" si="10"/>
        <v>0</v>
      </c>
      <c r="I33" s="284">
        <f t="shared" si="10"/>
        <v>0</v>
      </c>
      <c r="J33" s="284">
        <f t="shared" si="10"/>
        <v>0</v>
      </c>
      <c r="K33" s="284">
        <f t="shared" si="10"/>
        <v>0</v>
      </c>
      <c r="L33" s="284">
        <f t="shared" si="10"/>
        <v>0</v>
      </c>
      <c r="M33" s="284">
        <f t="shared" si="10"/>
        <v>0</v>
      </c>
      <c r="N33" s="284">
        <f t="shared" si="10"/>
        <v>0</v>
      </c>
      <c r="O33" s="233">
        <f>SUM(C33:N33)</f>
        <v>0</v>
      </c>
      <c r="P33" s="234">
        <f>IF(O31=0,0,O33/O31)</f>
        <v>0</v>
      </c>
      <c r="Q33" s="230">
        <f>IF($O$55=0,0,O33/$O$55)</f>
        <v>0</v>
      </c>
      <c r="R33" s="276">
        <f>R31-R32</f>
        <v>0</v>
      </c>
      <c r="S33" s="276">
        <f t="shared" ref="S33:AC33" si="11">S31-S32</f>
        <v>0</v>
      </c>
      <c r="T33" s="276">
        <f t="shared" si="11"/>
        <v>0</v>
      </c>
      <c r="U33" s="276">
        <f t="shared" si="11"/>
        <v>0</v>
      </c>
      <c r="V33" s="276">
        <f t="shared" si="11"/>
        <v>0</v>
      </c>
      <c r="W33" s="276">
        <f t="shared" si="11"/>
        <v>0</v>
      </c>
      <c r="X33" s="276">
        <f t="shared" si="11"/>
        <v>0</v>
      </c>
      <c r="Y33" s="276">
        <f t="shared" si="11"/>
        <v>0</v>
      </c>
      <c r="Z33" s="276">
        <f t="shared" si="11"/>
        <v>0</v>
      </c>
      <c r="AA33" s="276">
        <f t="shared" si="11"/>
        <v>0</v>
      </c>
      <c r="AB33" s="276">
        <f t="shared" si="11"/>
        <v>0</v>
      </c>
      <c r="AC33" s="276">
        <f t="shared" si="11"/>
        <v>0</v>
      </c>
      <c r="AD33" s="233">
        <f>SUM(R33:AC33)</f>
        <v>0</v>
      </c>
      <c r="AE33" s="234">
        <f>IF(AD31=0,0,AD33/AD31)</f>
        <v>0</v>
      </c>
      <c r="AF33" s="230">
        <f>IF($O$55=0,0,AD33/$O$55)</f>
        <v>0</v>
      </c>
    </row>
    <row r="34" spans="1:32" s="119" customFormat="1" x14ac:dyDescent="0.35">
      <c r="A34" s="250"/>
      <c r="B34" s="281"/>
      <c r="C34" s="239"/>
      <c r="D34" s="239"/>
      <c r="E34" s="239"/>
      <c r="F34" s="252"/>
      <c r="G34" s="252"/>
      <c r="H34" s="252"/>
      <c r="I34" s="252"/>
      <c r="J34" s="252"/>
      <c r="K34" s="252"/>
      <c r="L34" s="252"/>
      <c r="M34" s="252"/>
      <c r="N34" s="252"/>
      <c r="O34" s="253"/>
      <c r="P34" s="138"/>
      <c r="Q34" s="241"/>
      <c r="R34" s="239"/>
      <c r="S34" s="239"/>
      <c r="T34" s="239"/>
      <c r="U34" s="252"/>
      <c r="V34" s="252"/>
      <c r="W34" s="252"/>
      <c r="X34" s="252"/>
      <c r="Y34" s="252"/>
      <c r="Z34" s="252"/>
      <c r="AA34" s="252"/>
      <c r="AB34" s="252"/>
      <c r="AC34" s="252"/>
      <c r="AD34" s="253"/>
      <c r="AE34" s="138"/>
      <c r="AF34" s="241"/>
    </row>
    <row r="35" spans="1:32" x14ac:dyDescent="0.35">
      <c r="A35" s="224" t="str">
        <f>'3a-SalesForecastYear1'!B41</f>
        <v>Product 5</v>
      </c>
      <c r="B35" s="224"/>
      <c r="C35" s="247"/>
      <c r="D35" s="247"/>
      <c r="E35" s="247"/>
      <c r="F35" s="248"/>
      <c r="G35" s="248"/>
      <c r="H35" s="248"/>
      <c r="I35" s="248"/>
      <c r="J35" s="248"/>
      <c r="K35" s="248"/>
      <c r="L35" s="248"/>
      <c r="M35" s="248"/>
      <c r="N35" s="248"/>
      <c r="O35" s="226"/>
      <c r="P35" s="138"/>
      <c r="Q35" s="241"/>
      <c r="R35" s="247"/>
      <c r="S35" s="247"/>
      <c r="T35" s="247"/>
      <c r="U35" s="248"/>
      <c r="V35" s="248"/>
      <c r="W35" s="248"/>
      <c r="X35" s="248"/>
      <c r="Y35" s="248"/>
      <c r="Z35" s="248"/>
      <c r="AA35" s="248"/>
      <c r="AB35" s="248"/>
      <c r="AC35" s="248"/>
      <c r="AD35" s="226"/>
      <c r="AE35" s="138"/>
      <c r="AF35" s="241"/>
    </row>
    <row r="36" spans="1:32" s="118" customFormat="1" x14ac:dyDescent="0.35">
      <c r="A36" s="227" t="str">
        <f>Unit5&amp; " Sold"</f>
        <v xml:space="preserve"> Sold</v>
      </c>
      <c r="B36" s="227">
        <f>Unit5_Annual</f>
        <v>0</v>
      </c>
      <c r="C36" s="272">
        <f>'3a-SalesForecastYear1'!C42+ ('3a-SalesForecastYear1'!C42*$C$7)</f>
        <v>0</v>
      </c>
      <c r="D36" s="272">
        <f>'3a-SalesForecastYear1'!D42+ ('3a-SalesForecastYear1'!D42*$C$7)</f>
        <v>0</v>
      </c>
      <c r="E36" s="272">
        <f>'3a-SalesForecastYear1'!E42+ ('3a-SalesForecastYear1'!E42*$C$7)</f>
        <v>0</v>
      </c>
      <c r="F36" s="272">
        <f>'3a-SalesForecastYear1'!F42+ ('3a-SalesForecastYear1'!F42*$C$7)</f>
        <v>0</v>
      </c>
      <c r="G36" s="272">
        <f>'3a-SalesForecastYear1'!G42+ ('3a-SalesForecastYear1'!G42*$C$7)</f>
        <v>0</v>
      </c>
      <c r="H36" s="272">
        <f>'3a-SalesForecastYear1'!H42+ ('3a-SalesForecastYear1'!H42*$C$7)</f>
        <v>0</v>
      </c>
      <c r="I36" s="272">
        <f>'3a-SalesForecastYear1'!I42+ ('3a-SalesForecastYear1'!I42*$C$7)</f>
        <v>0</v>
      </c>
      <c r="J36" s="272">
        <f>'3a-SalesForecastYear1'!J42+ ('3a-SalesForecastYear1'!J42*$C$7)</f>
        <v>0</v>
      </c>
      <c r="K36" s="272">
        <f>'3a-SalesForecastYear1'!K42+ ('3a-SalesForecastYear1'!K42*$C$7)</f>
        <v>0</v>
      </c>
      <c r="L36" s="272">
        <f>'3a-SalesForecastYear1'!L42+ ('3a-SalesForecastYear1'!L42*$C$7)</f>
        <v>0</v>
      </c>
      <c r="M36" s="272">
        <f>'3a-SalesForecastYear1'!M42+ ('3a-SalesForecastYear1'!M42*$C$7)</f>
        <v>0</v>
      </c>
      <c r="N36" s="272">
        <f>'3a-SalesForecastYear1'!N42+ ('3a-SalesForecastYear1'!N42*$C$7)</f>
        <v>0</v>
      </c>
      <c r="O36" s="229">
        <f>SUM(C36:N36)</f>
        <v>0</v>
      </c>
      <c r="P36" s="138"/>
      <c r="Q36" s="230">
        <f>IF($O$52=0,0,O36/$O$52)</f>
        <v>0</v>
      </c>
      <c r="R36" s="273">
        <f>C36+(C36*$C$8)</f>
        <v>0</v>
      </c>
      <c r="S36" s="273">
        <f t="shared" ref="S36:AC38" si="12">D36+(D36*$C$8)</f>
        <v>0</v>
      </c>
      <c r="T36" s="273">
        <f t="shared" si="12"/>
        <v>0</v>
      </c>
      <c r="U36" s="273">
        <f t="shared" si="12"/>
        <v>0</v>
      </c>
      <c r="V36" s="273">
        <f t="shared" si="12"/>
        <v>0</v>
      </c>
      <c r="W36" s="273">
        <f t="shared" si="12"/>
        <v>0</v>
      </c>
      <c r="X36" s="273">
        <f t="shared" si="12"/>
        <v>0</v>
      </c>
      <c r="Y36" s="273">
        <f t="shared" si="12"/>
        <v>0</v>
      </c>
      <c r="Z36" s="273">
        <f t="shared" si="12"/>
        <v>0</v>
      </c>
      <c r="AA36" s="273">
        <f t="shared" si="12"/>
        <v>0</v>
      </c>
      <c r="AB36" s="273">
        <f t="shared" si="12"/>
        <v>0</v>
      </c>
      <c r="AC36" s="273">
        <f t="shared" si="12"/>
        <v>0</v>
      </c>
      <c r="AD36" s="229">
        <f>SUM(R36:AC36)</f>
        <v>0</v>
      </c>
      <c r="AE36" s="138"/>
      <c r="AF36" s="230">
        <f>IF($O$52=0,0,AD36/$O$52)</f>
        <v>0</v>
      </c>
    </row>
    <row r="37" spans="1:32" x14ac:dyDescent="0.35">
      <c r="A37" s="245" t="s">
        <v>102</v>
      </c>
      <c r="B37" s="280">
        <f>Category5_Annual_Sales</f>
        <v>0</v>
      </c>
      <c r="C37" s="275">
        <f>'3a-SalesForecastYear1'!C43+ ('3a-SalesForecastYear1'!C43*$C$7)</f>
        <v>0</v>
      </c>
      <c r="D37" s="275">
        <f>'3a-SalesForecastYear1'!D43+ ('3a-SalesForecastYear1'!D43*$C$7)</f>
        <v>0</v>
      </c>
      <c r="E37" s="275">
        <f>'3a-SalesForecastYear1'!E43+ ('3a-SalesForecastYear1'!E43*$C$7)</f>
        <v>0</v>
      </c>
      <c r="F37" s="275">
        <f>'3a-SalesForecastYear1'!F43+ ('3a-SalesForecastYear1'!F43*$C$7)</f>
        <v>0</v>
      </c>
      <c r="G37" s="275">
        <f>'3a-SalesForecastYear1'!G43+ ('3a-SalesForecastYear1'!G43*$C$7)</f>
        <v>0</v>
      </c>
      <c r="H37" s="275">
        <f>'3a-SalesForecastYear1'!H43+ ('3a-SalesForecastYear1'!H43*$C$7)</f>
        <v>0</v>
      </c>
      <c r="I37" s="275">
        <f>'3a-SalesForecastYear1'!I43+ ('3a-SalesForecastYear1'!I43*$C$7)</f>
        <v>0</v>
      </c>
      <c r="J37" s="275">
        <f>'3a-SalesForecastYear1'!J43+ ('3a-SalesForecastYear1'!J43*$C$7)</f>
        <v>0</v>
      </c>
      <c r="K37" s="275">
        <f>'3a-SalesForecastYear1'!K43+ ('3a-SalesForecastYear1'!K43*$C$7)</f>
        <v>0</v>
      </c>
      <c r="L37" s="275">
        <f>'3a-SalesForecastYear1'!L43+ ('3a-SalesForecastYear1'!L43*$C$7)</f>
        <v>0</v>
      </c>
      <c r="M37" s="275">
        <f>'3a-SalesForecastYear1'!M43+ ('3a-SalesForecastYear1'!M43*$C$7)</f>
        <v>0</v>
      </c>
      <c r="N37" s="275">
        <f>'3a-SalesForecastYear1'!N43+ ('3a-SalesForecastYear1'!N43*$C$7)</f>
        <v>0</v>
      </c>
      <c r="O37" s="233">
        <f>SUM(C37:N37)</f>
        <v>0</v>
      </c>
      <c r="P37" s="234">
        <f>(P38+P39)</f>
        <v>0</v>
      </c>
      <c r="Q37" s="230">
        <f>IF($O$53=0,0,O37/$O$53)</f>
        <v>0</v>
      </c>
      <c r="R37" s="276">
        <f>C37+(C37*$C$8)</f>
        <v>0</v>
      </c>
      <c r="S37" s="276">
        <f t="shared" si="12"/>
        <v>0</v>
      </c>
      <c r="T37" s="276">
        <f t="shared" si="12"/>
        <v>0</v>
      </c>
      <c r="U37" s="276">
        <f t="shared" si="12"/>
        <v>0</v>
      </c>
      <c r="V37" s="276">
        <f t="shared" si="12"/>
        <v>0</v>
      </c>
      <c r="W37" s="276">
        <f t="shared" si="12"/>
        <v>0</v>
      </c>
      <c r="X37" s="276">
        <f t="shared" si="12"/>
        <v>0</v>
      </c>
      <c r="Y37" s="276">
        <f t="shared" si="12"/>
        <v>0</v>
      </c>
      <c r="Z37" s="276">
        <f t="shared" si="12"/>
        <v>0</v>
      </c>
      <c r="AA37" s="276">
        <f t="shared" si="12"/>
        <v>0</v>
      </c>
      <c r="AB37" s="276">
        <f t="shared" si="12"/>
        <v>0</v>
      </c>
      <c r="AC37" s="276">
        <f t="shared" si="12"/>
        <v>0</v>
      </c>
      <c r="AD37" s="233">
        <f>SUM(R37:AC37)</f>
        <v>0</v>
      </c>
      <c r="AE37" s="234">
        <f>(AE38+AE39)</f>
        <v>0</v>
      </c>
      <c r="AF37" s="230">
        <f>IF($O$53=0,0,AD37/$O$53)</f>
        <v>0</v>
      </c>
    </row>
    <row r="38" spans="1:32" x14ac:dyDescent="0.35">
      <c r="A38" s="245" t="s">
        <v>103</v>
      </c>
      <c r="B38" s="280">
        <f>'3a-SalesForecastYear1'!O44</f>
        <v>0</v>
      </c>
      <c r="C38" s="275">
        <f>'3a-SalesForecastYear1'!C44+ ('3a-SalesForecastYear1'!C44*$C$7)</f>
        <v>0</v>
      </c>
      <c r="D38" s="275">
        <f>'3a-SalesForecastYear1'!D44+ ('3a-SalesForecastYear1'!D44*$C$7)</f>
        <v>0</v>
      </c>
      <c r="E38" s="275">
        <f>'3a-SalesForecastYear1'!E44+ ('3a-SalesForecastYear1'!E44*$C$7)</f>
        <v>0</v>
      </c>
      <c r="F38" s="275">
        <f>'3a-SalesForecastYear1'!F44+ ('3a-SalesForecastYear1'!F44*$C$7)</f>
        <v>0</v>
      </c>
      <c r="G38" s="275">
        <f>'3a-SalesForecastYear1'!G44+ ('3a-SalesForecastYear1'!G44*$C$7)</f>
        <v>0</v>
      </c>
      <c r="H38" s="275">
        <f>'3a-SalesForecastYear1'!H44+ ('3a-SalesForecastYear1'!H44*$C$7)</f>
        <v>0</v>
      </c>
      <c r="I38" s="275">
        <f>'3a-SalesForecastYear1'!I44+ ('3a-SalesForecastYear1'!I44*$C$7)</f>
        <v>0</v>
      </c>
      <c r="J38" s="275">
        <f>'3a-SalesForecastYear1'!J44+ ('3a-SalesForecastYear1'!J44*$C$7)</f>
        <v>0</v>
      </c>
      <c r="K38" s="275">
        <f>'3a-SalesForecastYear1'!K44+ ('3a-SalesForecastYear1'!K44*$C$7)</f>
        <v>0</v>
      </c>
      <c r="L38" s="275">
        <f>'3a-SalesForecastYear1'!L44+ ('3a-SalesForecastYear1'!L44*$C$7)</f>
        <v>0</v>
      </c>
      <c r="M38" s="275">
        <f>'3a-SalesForecastYear1'!M44+ ('3a-SalesForecastYear1'!M44*$C$7)</f>
        <v>0</v>
      </c>
      <c r="N38" s="275">
        <f>'3a-SalesForecastYear1'!N44+ ('3a-SalesForecastYear1'!N44*$C$7)</f>
        <v>0</v>
      </c>
      <c r="O38" s="233">
        <f>SUM(C38:N38)</f>
        <v>0</v>
      </c>
      <c r="P38" s="234">
        <f>IF(O37=0,0,O38/O37)</f>
        <v>0</v>
      </c>
      <c r="Q38" s="230">
        <f>IF($O$54=0,0,O38/$O$54)</f>
        <v>0</v>
      </c>
      <c r="R38" s="276">
        <f>C38+(C38*$C$8)</f>
        <v>0</v>
      </c>
      <c r="S38" s="276">
        <f t="shared" si="12"/>
        <v>0</v>
      </c>
      <c r="T38" s="276">
        <f t="shared" si="12"/>
        <v>0</v>
      </c>
      <c r="U38" s="276">
        <f t="shared" si="12"/>
        <v>0</v>
      </c>
      <c r="V38" s="276">
        <f t="shared" si="12"/>
        <v>0</v>
      </c>
      <c r="W38" s="276">
        <f t="shared" si="12"/>
        <v>0</v>
      </c>
      <c r="X38" s="276">
        <f t="shared" si="12"/>
        <v>0</v>
      </c>
      <c r="Y38" s="276">
        <f t="shared" si="12"/>
        <v>0</v>
      </c>
      <c r="Z38" s="276">
        <f t="shared" si="12"/>
        <v>0</v>
      </c>
      <c r="AA38" s="276">
        <f t="shared" si="12"/>
        <v>0</v>
      </c>
      <c r="AB38" s="276">
        <f t="shared" si="12"/>
        <v>0</v>
      </c>
      <c r="AC38" s="276">
        <f t="shared" si="12"/>
        <v>0</v>
      </c>
      <c r="AD38" s="233">
        <f>SUM(R38:AC38)</f>
        <v>0</v>
      </c>
      <c r="AE38" s="234">
        <f>IF(AD37=0,0,AD38/AD37)</f>
        <v>0</v>
      </c>
      <c r="AF38" s="230">
        <f>IF($O$54=0,0,AD38/$O$54)</f>
        <v>0</v>
      </c>
    </row>
    <row r="39" spans="1:32" x14ac:dyDescent="0.35">
      <c r="A39" s="235" t="s">
        <v>105</v>
      </c>
      <c r="B39" s="279">
        <f>'3a-SalesForecastYear1'!O45</f>
        <v>0</v>
      </c>
      <c r="C39" s="286">
        <f>C37-C38</f>
        <v>0</v>
      </c>
      <c r="D39" s="286">
        <f t="shared" ref="D39:N39" si="13">D37-D38</f>
        <v>0</v>
      </c>
      <c r="E39" s="286">
        <f t="shared" si="13"/>
        <v>0</v>
      </c>
      <c r="F39" s="286">
        <f t="shared" si="13"/>
        <v>0</v>
      </c>
      <c r="G39" s="286">
        <f t="shared" si="13"/>
        <v>0</v>
      </c>
      <c r="H39" s="286">
        <f t="shared" si="13"/>
        <v>0</v>
      </c>
      <c r="I39" s="286">
        <f t="shared" si="13"/>
        <v>0</v>
      </c>
      <c r="J39" s="286">
        <f t="shared" si="13"/>
        <v>0</v>
      </c>
      <c r="K39" s="286">
        <f t="shared" si="13"/>
        <v>0</v>
      </c>
      <c r="L39" s="286">
        <f t="shared" si="13"/>
        <v>0</v>
      </c>
      <c r="M39" s="286">
        <f t="shared" si="13"/>
        <v>0</v>
      </c>
      <c r="N39" s="286">
        <f t="shared" si="13"/>
        <v>0</v>
      </c>
      <c r="O39" s="233">
        <f>SUM(C39:N39)</f>
        <v>0</v>
      </c>
      <c r="P39" s="234">
        <f>IF(O37=0,0,O39/O37)</f>
        <v>0</v>
      </c>
      <c r="Q39" s="230">
        <f>IF($O$55=0,0,O39/$O$55)</f>
        <v>0</v>
      </c>
      <c r="R39" s="276">
        <f>R37-R38</f>
        <v>0</v>
      </c>
      <c r="S39" s="276">
        <f t="shared" ref="S39:AC39" si="14">S37-S38</f>
        <v>0</v>
      </c>
      <c r="T39" s="276">
        <f t="shared" si="14"/>
        <v>0</v>
      </c>
      <c r="U39" s="276">
        <f t="shared" si="14"/>
        <v>0</v>
      </c>
      <c r="V39" s="276">
        <f t="shared" si="14"/>
        <v>0</v>
      </c>
      <c r="W39" s="276">
        <f t="shared" si="14"/>
        <v>0</v>
      </c>
      <c r="X39" s="276">
        <f t="shared" si="14"/>
        <v>0</v>
      </c>
      <c r="Y39" s="276">
        <f t="shared" si="14"/>
        <v>0</v>
      </c>
      <c r="Z39" s="276">
        <f t="shared" si="14"/>
        <v>0</v>
      </c>
      <c r="AA39" s="276">
        <f t="shared" si="14"/>
        <v>0</v>
      </c>
      <c r="AB39" s="276">
        <f t="shared" si="14"/>
        <v>0</v>
      </c>
      <c r="AC39" s="276">
        <f t="shared" si="14"/>
        <v>0</v>
      </c>
      <c r="AD39" s="233">
        <f>SUM(R39:AC39)</f>
        <v>0</v>
      </c>
      <c r="AE39" s="234">
        <f>IF(AD37=0,0,AD39/AD37)</f>
        <v>0</v>
      </c>
      <c r="AF39" s="230">
        <f>IF($O$55=0,0,AD39/$O$55)</f>
        <v>0</v>
      </c>
    </row>
    <row r="40" spans="1:32" s="119" customFormat="1" x14ac:dyDescent="0.35">
      <c r="A40" s="250"/>
      <c r="B40" s="281"/>
      <c r="C40" s="255"/>
      <c r="D40" s="255"/>
      <c r="E40" s="255"/>
      <c r="F40" s="255"/>
      <c r="G40" s="255"/>
      <c r="H40" s="255"/>
      <c r="I40" s="255"/>
      <c r="J40" s="255"/>
      <c r="K40" s="255"/>
      <c r="L40" s="255"/>
      <c r="M40" s="255"/>
      <c r="N40" s="255"/>
      <c r="O40" s="253"/>
      <c r="P40" s="138"/>
      <c r="Q40" s="241"/>
      <c r="R40" s="255"/>
      <c r="S40" s="255"/>
      <c r="T40" s="255"/>
      <c r="U40" s="255"/>
      <c r="V40" s="255"/>
      <c r="W40" s="255"/>
      <c r="X40" s="255"/>
      <c r="Y40" s="255"/>
      <c r="Z40" s="255"/>
      <c r="AA40" s="255"/>
      <c r="AB40" s="255"/>
      <c r="AC40" s="255"/>
      <c r="AD40" s="253"/>
      <c r="AE40" s="138"/>
      <c r="AF40" s="241"/>
    </row>
    <row r="41" spans="1:32" s="118" customFormat="1" x14ac:dyDescent="0.35">
      <c r="A41" s="224" t="str">
        <f>'3a-SalesForecastYear1'!B47</f>
        <v>Product 6</v>
      </c>
      <c r="B41" s="224"/>
      <c r="C41" s="256"/>
      <c r="D41" s="256"/>
      <c r="E41" s="256"/>
      <c r="F41" s="256"/>
      <c r="G41" s="256"/>
      <c r="H41" s="256"/>
      <c r="I41" s="256"/>
      <c r="J41" s="256"/>
      <c r="K41" s="256"/>
      <c r="L41" s="256"/>
      <c r="M41" s="256"/>
      <c r="N41" s="256"/>
      <c r="O41" s="226"/>
      <c r="P41" s="138"/>
      <c r="Q41" s="241"/>
      <c r="R41" s="256"/>
      <c r="S41" s="256"/>
      <c r="T41" s="256"/>
      <c r="U41" s="256"/>
      <c r="V41" s="256"/>
      <c r="W41" s="256"/>
      <c r="X41" s="256"/>
      <c r="Y41" s="256"/>
      <c r="Z41" s="256"/>
      <c r="AA41" s="256"/>
      <c r="AB41" s="256"/>
      <c r="AC41" s="256"/>
      <c r="AD41" s="226"/>
      <c r="AE41" s="138"/>
      <c r="AF41" s="241"/>
    </row>
    <row r="42" spans="1:32" x14ac:dyDescent="0.35">
      <c r="A42" s="227" t="str">
        <f>Unit6&amp; " Sold"</f>
        <v xml:space="preserve"> Sold</v>
      </c>
      <c r="B42" s="227">
        <f>Unit6_Annual</f>
        <v>0</v>
      </c>
      <c r="C42" s="282">
        <f>'3a-SalesForecastYear1'!C48+('3a-SalesForecastYear1'!C48*$C$7)</f>
        <v>0</v>
      </c>
      <c r="D42" s="282">
        <f>'3a-SalesForecastYear1'!D48+('3a-SalesForecastYear1'!D48*$C$7)</f>
        <v>0</v>
      </c>
      <c r="E42" s="282">
        <f>'3a-SalesForecastYear1'!E48+('3a-SalesForecastYear1'!E48*$C$7)</f>
        <v>0</v>
      </c>
      <c r="F42" s="282">
        <f>'3a-SalesForecastYear1'!F48+('3a-SalesForecastYear1'!F48*$C$7)</f>
        <v>0</v>
      </c>
      <c r="G42" s="282">
        <f>'3a-SalesForecastYear1'!G48+('3a-SalesForecastYear1'!G48*$C$7)</f>
        <v>0</v>
      </c>
      <c r="H42" s="282">
        <f>'3a-SalesForecastYear1'!H48+('3a-SalesForecastYear1'!H48*$C$7)</f>
        <v>0</v>
      </c>
      <c r="I42" s="282">
        <f>'3a-SalesForecastYear1'!I48+('3a-SalesForecastYear1'!I48*$C$7)</f>
        <v>0</v>
      </c>
      <c r="J42" s="282">
        <f>'3a-SalesForecastYear1'!J48+('3a-SalesForecastYear1'!J48*$C$7)</f>
        <v>0</v>
      </c>
      <c r="K42" s="282">
        <f>'3a-SalesForecastYear1'!K48+('3a-SalesForecastYear1'!K48*$C$7)</f>
        <v>0</v>
      </c>
      <c r="L42" s="282">
        <f>'3a-SalesForecastYear1'!L48+('3a-SalesForecastYear1'!L48*$C$7)</f>
        <v>0</v>
      </c>
      <c r="M42" s="282">
        <f>'3a-SalesForecastYear1'!M48+('3a-SalesForecastYear1'!M48*$C$7)</f>
        <v>0</v>
      </c>
      <c r="N42" s="282">
        <f>'3a-SalesForecastYear1'!N48+('3a-SalesForecastYear1'!N48*$C$7)</f>
        <v>0</v>
      </c>
      <c r="O42" s="229">
        <f t="shared" ref="O42:O48" si="15">SUM(C42:N42)</f>
        <v>0</v>
      </c>
      <c r="P42" s="138"/>
      <c r="Q42" s="230">
        <f>IF($O$52=0,0,O42/$O$52)</f>
        <v>0</v>
      </c>
      <c r="R42" s="283">
        <f>C42+(C42*$C$8)</f>
        <v>0</v>
      </c>
      <c r="S42" s="283">
        <f t="shared" ref="S42:AC44" si="16">D42+(D42*$C$8)</f>
        <v>0</v>
      </c>
      <c r="T42" s="283">
        <f t="shared" si="16"/>
        <v>0</v>
      </c>
      <c r="U42" s="283">
        <f t="shared" si="16"/>
        <v>0</v>
      </c>
      <c r="V42" s="283">
        <f t="shared" si="16"/>
        <v>0</v>
      </c>
      <c r="W42" s="283">
        <f t="shared" si="16"/>
        <v>0</v>
      </c>
      <c r="X42" s="283">
        <f t="shared" si="16"/>
        <v>0</v>
      </c>
      <c r="Y42" s="283">
        <f t="shared" si="16"/>
        <v>0</v>
      </c>
      <c r="Z42" s="283">
        <f t="shared" si="16"/>
        <v>0</v>
      </c>
      <c r="AA42" s="283">
        <f t="shared" si="16"/>
        <v>0</v>
      </c>
      <c r="AB42" s="283">
        <f t="shared" si="16"/>
        <v>0</v>
      </c>
      <c r="AC42" s="283">
        <f t="shared" si="16"/>
        <v>0</v>
      </c>
      <c r="AD42" s="229">
        <f t="shared" ref="AD42:AD48" si="17">SUM(R42:AC42)</f>
        <v>0</v>
      </c>
      <c r="AE42" s="138"/>
      <c r="AF42" s="230">
        <f>IF($O$52=0,0,AD42/$O$52)</f>
        <v>0</v>
      </c>
    </row>
    <row r="43" spans="1:32" x14ac:dyDescent="0.35">
      <c r="A43" s="245" t="s">
        <v>102</v>
      </c>
      <c r="B43" s="280">
        <f>Category6_Annual_Sales</f>
        <v>0</v>
      </c>
      <c r="C43" s="284">
        <f>'3a-SalesForecastYear1'!C49+('3a-SalesForecastYear1'!C49*$C$7)</f>
        <v>0</v>
      </c>
      <c r="D43" s="284">
        <f>'3a-SalesForecastYear1'!D49+('3a-SalesForecastYear1'!D49*$C$7)</f>
        <v>0</v>
      </c>
      <c r="E43" s="284">
        <f>'3a-SalesForecastYear1'!E49+('3a-SalesForecastYear1'!E49*$C$7)</f>
        <v>0</v>
      </c>
      <c r="F43" s="284">
        <f>'3a-SalesForecastYear1'!F49+('3a-SalesForecastYear1'!F49*$C$7)</f>
        <v>0</v>
      </c>
      <c r="G43" s="284">
        <f>'3a-SalesForecastYear1'!G49+('3a-SalesForecastYear1'!G49*$C$7)</f>
        <v>0</v>
      </c>
      <c r="H43" s="284">
        <f>'3a-SalesForecastYear1'!H49+('3a-SalesForecastYear1'!H49*$C$7)</f>
        <v>0</v>
      </c>
      <c r="I43" s="284">
        <f>'3a-SalesForecastYear1'!I49+('3a-SalesForecastYear1'!I49*$C$7)</f>
        <v>0</v>
      </c>
      <c r="J43" s="284">
        <f>'3a-SalesForecastYear1'!J49+('3a-SalesForecastYear1'!J49*$C$7)</f>
        <v>0</v>
      </c>
      <c r="K43" s="284">
        <f>'3a-SalesForecastYear1'!K49+('3a-SalesForecastYear1'!K49*$C$7)</f>
        <v>0</v>
      </c>
      <c r="L43" s="284">
        <f>'3a-SalesForecastYear1'!L49+('3a-SalesForecastYear1'!L49*$C$7)</f>
        <v>0</v>
      </c>
      <c r="M43" s="284">
        <f>'3a-SalesForecastYear1'!M49+('3a-SalesForecastYear1'!M49*$C$7)</f>
        <v>0</v>
      </c>
      <c r="N43" s="284">
        <f>'3a-SalesForecastYear1'!N49+('3a-SalesForecastYear1'!N49*$C$7)</f>
        <v>0</v>
      </c>
      <c r="O43" s="233">
        <f t="shared" si="15"/>
        <v>0</v>
      </c>
      <c r="P43" s="234">
        <f>(P44+P45)</f>
        <v>0</v>
      </c>
      <c r="Q43" s="230">
        <f>IF($O$53=0,0,O43/$O$53)</f>
        <v>0</v>
      </c>
      <c r="R43" s="285">
        <f>C43+(C43*$C$8)</f>
        <v>0</v>
      </c>
      <c r="S43" s="285">
        <f t="shared" si="16"/>
        <v>0</v>
      </c>
      <c r="T43" s="285">
        <f t="shared" si="16"/>
        <v>0</v>
      </c>
      <c r="U43" s="285">
        <f t="shared" si="16"/>
        <v>0</v>
      </c>
      <c r="V43" s="285">
        <f t="shared" si="16"/>
        <v>0</v>
      </c>
      <c r="W43" s="285">
        <f t="shared" si="16"/>
        <v>0</v>
      </c>
      <c r="X43" s="285">
        <f t="shared" si="16"/>
        <v>0</v>
      </c>
      <c r="Y43" s="285">
        <f t="shared" si="16"/>
        <v>0</v>
      </c>
      <c r="Z43" s="285">
        <f t="shared" si="16"/>
        <v>0</v>
      </c>
      <c r="AA43" s="285">
        <f t="shared" si="16"/>
        <v>0</v>
      </c>
      <c r="AB43" s="285">
        <f t="shared" si="16"/>
        <v>0</v>
      </c>
      <c r="AC43" s="285">
        <f t="shared" si="16"/>
        <v>0</v>
      </c>
      <c r="AD43" s="233">
        <f t="shared" si="17"/>
        <v>0</v>
      </c>
      <c r="AE43" s="234">
        <f>(AE44+AE45)</f>
        <v>0</v>
      </c>
      <c r="AF43" s="230">
        <f>IF($O$53=0,0,AD43/$O$53)</f>
        <v>0</v>
      </c>
    </row>
    <row r="44" spans="1:32" x14ac:dyDescent="0.35">
      <c r="A44" s="258" t="s">
        <v>103</v>
      </c>
      <c r="B44" s="278">
        <f>'3a-SalesForecastYear1'!O50</f>
        <v>0</v>
      </c>
      <c r="C44" s="284">
        <f>'3a-SalesForecastYear1'!C50+('3a-SalesForecastYear1'!C50*$C$7)</f>
        <v>0</v>
      </c>
      <c r="D44" s="284">
        <f>'3a-SalesForecastYear1'!D50+('3a-SalesForecastYear1'!D50*$C$7)</f>
        <v>0</v>
      </c>
      <c r="E44" s="284">
        <f>'3a-SalesForecastYear1'!E50+('3a-SalesForecastYear1'!E50*$C$7)</f>
        <v>0</v>
      </c>
      <c r="F44" s="284">
        <f>'3a-SalesForecastYear1'!F50+('3a-SalesForecastYear1'!F50*$C$7)</f>
        <v>0</v>
      </c>
      <c r="G44" s="284">
        <f>'3a-SalesForecastYear1'!G50+('3a-SalesForecastYear1'!G50*$C$7)</f>
        <v>0</v>
      </c>
      <c r="H44" s="284">
        <f>'3a-SalesForecastYear1'!H50+('3a-SalesForecastYear1'!H50*$C$7)</f>
        <v>0</v>
      </c>
      <c r="I44" s="284">
        <f>'3a-SalesForecastYear1'!I50+('3a-SalesForecastYear1'!I50*$C$7)</f>
        <v>0</v>
      </c>
      <c r="J44" s="284">
        <f>'3a-SalesForecastYear1'!J50+('3a-SalesForecastYear1'!J50*$C$7)</f>
        <v>0</v>
      </c>
      <c r="K44" s="284">
        <f>'3a-SalesForecastYear1'!K50+('3a-SalesForecastYear1'!K50*$C$7)</f>
        <v>0</v>
      </c>
      <c r="L44" s="284">
        <f>'3a-SalesForecastYear1'!L50+('3a-SalesForecastYear1'!L50*$C$7)</f>
        <v>0</v>
      </c>
      <c r="M44" s="284">
        <f>'3a-SalesForecastYear1'!M50+('3a-SalesForecastYear1'!M50*$C$7)</f>
        <v>0</v>
      </c>
      <c r="N44" s="284">
        <f>'3a-SalesForecastYear1'!N50+('3a-SalesForecastYear1'!N50*$C$7)</f>
        <v>0</v>
      </c>
      <c r="O44" s="233">
        <f t="shared" si="15"/>
        <v>0</v>
      </c>
      <c r="P44" s="234">
        <f>IF(O43=0,0,O44/O43)</f>
        <v>0</v>
      </c>
      <c r="Q44" s="230">
        <f>IF($O$54=0,0,O44/$O$54)</f>
        <v>0</v>
      </c>
      <c r="R44" s="285">
        <f>C44+(C44*$C$8)</f>
        <v>0</v>
      </c>
      <c r="S44" s="285">
        <f t="shared" si="16"/>
        <v>0</v>
      </c>
      <c r="T44" s="285">
        <f t="shared" si="16"/>
        <v>0</v>
      </c>
      <c r="U44" s="285">
        <f t="shared" si="16"/>
        <v>0</v>
      </c>
      <c r="V44" s="285">
        <f t="shared" si="16"/>
        <v>0</v>
      </c>
      <c r="W44" s="285">
        <f t="shared" si="16"/>
        <v>0</v>
      </c>
      <c r="X44" s="285">
        <f t="shared" si="16"/>
        <v>0</v>
      </c>
      <c r="Y44" s="285">
        <f t="shared" si="16"/>
        <v>0</v>
      </c>
      <c r="Z44" s="285">
        <f t="shared" si="16"/>
        <v>0</v>
      </c>
      <c r="AA44" s="285">
        <f t="shared" si="16"/>
        <v>0</v>
      </c>
      <c r="AB44" s="285">
        <f t="shared" si="16"/>
        <v>0</v>
      </c>
      <c r="AC44" s="285">
        <f t="shared" si="16"/>
        <v>0</v>
      </c>
      <c r="AD44" s="233">
        <f t="shared" si="17"/>
        <v>0</v>
      </c>
      <c r="AE44" s="234">
        <f>IF(AD43=0,0,AD44/AD43)</f>
        <v>0</v>
      </c>
      <c r="AF44" s="230">
        <f>IF($O$54=0,0,AD44/$O$54)</f>
        <v>0</v>
      </c>
    </row>
    <row r="45" spans="1:32" x14ac:dyDescent="0.35">
      <c r="A45" s="231" t="s">
        <v>105</v>
      </c>
      <c r="B45" s="287">
        <f>'3a-SalesForecastYear1'!O51</f>
        <v>0</v>
      </c>
      <c r="C45" s="275">
        <f>C43-C44</f>
        <v>0</v>
      </c>
      <c r="D45" s="275">
        <f t="shared" ref="D45:N45" si="18">D43-D44</f>
        <v>0</v>
      </c>
      <c r="E45" s="275">
        <f t="shared" si="18"/>
        <v>0</v>
      </c>
      <c r="F45" s="275">
        <f t="shared" si="18"/>
        <v>0</v>
      </c>
      <c r="G45" s="275">
        <f t="shared" si="18"/>
        <v>0</v>
      </c>
      <c r="H45" s="275">
        <f t="shared" si="18"/>
        <v>0</v>
      </c>
      <c r="I45" s="275">
        <f t="shared" si="18"/>
        <v>0</v>
      </c>
      <c r="J45" s="275">
        <f t="shared" si="18"/>
        <v>0</v>
      </c>
      <c r="K45" s="275">
        <f t="shared" si="18"/>
        <v>0</v>
      </c>
      <c r="L45" s="275">
        <f t="shared" si="18"/>
        <v>0</v>
      </c>
      <c r="M45" s="275">
        <f t="shared" si="18"/>
        <v>0</v>
      </c>
      <c r="N45" s="275">
        <f t="shared" si="18"/>
        <v>0</v>
      </c>
      <c r="O45" s="233">
        <f t="shared" si="15"/>
        <v>0</v>
      </c>
      <c r="P45" s="234">
        <f>IF(O43=0,0,O45/O43)</f>
        <v>0</v>
      </c>
      <c r="Q45" s="230">
        <f>IF($O$55=0,0,O45/$O$55)</f>
        <v>0</v>
      </c>
      <c r="R45" s="276">
        <f>R43-R44</f>
        <v>0</v>
      </c>
      <c r="S45" s="276">
        <f t="shared" ref="S45:AC45" si="19">S43-S44</f>
        <v>0</v>
      </c>
      <c r="T45" s="276">
        <f t="shared" si="19"/>
        <v>0</v>
      </c>
      <c r="U45" s="276">
        <f t="shared" si="19"/>
        <v>0</v>
      </c>
      <c r="V45" s="276">
        <f t="shared" si="19"/>
        <v>0</v>
      </c>
      <c r="W45" s="276">
        <f t="shared" si="19"/>
        <v>0</v>
      </c>
      <c r="X45" s="276">
        <f t="shared" si="19"/>
        <v>0</v>
      </c>
      <c r="Y45" s="276">
        <f t="shared" si="19"/>
        <v>0</v>
      </c>
      <c r="Z45" s="276">
        <f t="shared" si="19"/>
        <v>0</v>
      </c>
      <c r="AA45" s="276">
        <f t="shared" si="19"/>
        <v>0</v>
      </c>
      <c r="AB45" s="276">
        <f t="shared" si="19"/>
        <v>0</v>
      </c>
      <c r="AC45" s="276">
        <f t="shared" si="19"/>
        <v>0</v>
      </c>
      <c r="AD45" s="233">
        <f t="shared" si="17"/>
        <v>0</v>
      </c>
      <c r="AE45" s="234">
        <f>IF(AD43=0,0,AD45/AD43)</f>
        <v>0</v>
      </c>
      <c r="AF45" s="230">
        <f>IF($O$55=0,0,AD45/$O$55)</f>
        <v>0</v>
      </c>
    </row>
    <row r="46" spans="1:32" x14ac:dyDescent="0.35">
      <c r="A46" s="259" t="s">
        <v>106</v>
      </c>
      <c r="B46" s="259">
        <f>Units_Annual_Total</f>
        <v>0</v>
      </c>
      <c r="C46" s="260">
        <f>C12+C18+C24+C30+C36+C42</f>
        <v>0</v>
      </c>
      <c r="D46" s="260">
        <f t="shared" ref="D46:N46" si="20">D12+D18+D24+D30+D36+D42</f>
        <v>0</v>
      </c>
      <c r="E46" s="260">
        <f t="shared" si="20"/>
        <v>0</v>
      </c>
      <c r="F46" s="260">
        <f t="shared" si="20"/>
        <v>0</v>
      </c>
      <c r="G46" s="260">
        <f t="shared" si="20"/>
        <v>0</v>
      </c>
      <c r="H46" s="260">
        <f t="shared" si="20"/>
        <v>0</v>
      </c>
      <c r="I46" s="260">
        <f t="shared" si="20"/>
        <v>0</v>
      </c>
      <c r="J46" s="260">
        <f t="shared" si="20"/>
        <v>0</v>
      </c>
      <c r="K46" s="260">
        <f t="shared" si="20"/>
        <v>0</v>
      </c>
      <c r="L46" s="260">
        <f t="shared" si="20"/>
        <v>0</v>
      </c>
      <c r="M46" s="260">
        <f t="shared" si="20"/>
        <v>0</v>
      </c>
      <c r="N46" s="260">
        <f t="shared" si="20"/>
        <v>0</v>
      </c>
      <c r="O46" s="229">
        <f t="shared" si="15"/>
        <v>0</v>
      </c>
      <c r="P46" s="138"/>
      <c r="Q46" s="241"/>
      <c r="R46" s="260">
        <f>R12+R18+R24+R30+R36+R42</f>
        <v>0</v>
      </c>
      <c r="S46" s="260">
        <f t="shared" ref="S46:AC46" si="21">S12+S18+S24+S30+S36+S42</f>
        <v>0</v>
      </c>
      <c r="T46" s="260">
        <f t="shared" si="21"/>
        <v>0</v>
      </c>
      <c r="U46" s="260">
        <f t="shared" si="21"/>
        <v>0</v>
      </c>
      <c r="V46" s="260">
        <f t="shared" si="21"/>
        <v>0</v>
      </c>
      <c r="W46" s="260">
        <f t="shared" si="21"/>
        <v>0</v>
      </c>
      <c r="X46" s="260">
        <f t="shared" si="21"/>
        <v>0</v>
      </c>
      <c r="Y46" s="260">
        <f t="shared" si="21"/>
        <v>0</v>
      </c>
      <c r="Z46" s="260">
        <f t="shared" si="21"/>
        <v>0</v>
      </c>
      <c r="AA46" s="260">
        <f t="shared" si="21"/>
        <v>0</v>
      </c>
      <c r="AB46" s="260">
        <f t="shared" si="21"/>
        <v>0</v>
      </c>
      <c r="AC46" s="260">
        <f t="shared" si="21"/>
        <v>0</v>
      </c>
      <c r="AD46" s="229">
        <f t="shared" si="17"/>
        <v>0</v>
      </c>
      <c r="AE46" s="138"/>
      <c r="AF46" s="241"/>
    </row>
    <row r="47" spans="1:32" x14ac:dyDescent="0.35">
      <c r="A47" s="261" t="s">
        <v>102</v>
      </c>
      <c r="B47" s="288">
        <f>Sales_Annual_Total</f>
        <v>0</v>
      </c>
      <c r="C47" s="262">
        <f t="shared" ref="C47:N48" si="22">C13+C19+C25+C31+C37+C43</f>
        <v>0</v>
      </c>
      <c r="D47" s="262">
        <f t="shared" si="22"/>
        <v>0</v>
      </c>
      <c r="E47" s="262">
        <f t="shared" si="22"/>
        <v>0</v>
      </c>
      <c r="F47" s="262">
        <f t="shared" si="22"/>
        <v>0</v>
      </c>
      <c r="G47" s="262">
        <f t="shared" si="22"/>
        <v>0</v>
      </c>
      <c r="H47" s="262">
        <f t="shared" si="22"/>
        <v>0</v>
      </c>
      <c r="I47" s="262">
        <f t="shared" si="22"/>
        <v>0</v>
      </c>
      <c r="J47" s="262">
        <f t="shared" si="22"/>
        <v>0</v>
      </c>
      <c r="K47" s="262">
        <f t="shared" si="22"/>
        <v>0</v>
      </c>
      <c r="L47" s="262">
        <f t="shared" si="22"/>
        <v>0</v>
      </c>
      <c r="M47" s="262">
        <f t="shared" si="22"/>
        <v>0</v>
      </c>
      <c r="N47" s="262">
        <f t="shared" si="22"/>
        <v>0</v>
      </c>
      <c r="O47" s="233">
        <f t="shared" si="15"/>
        <v>0</v>
      </c>
      <c r="P47" s="138"/>
      <c r="Q47" s="241"/>
      <c r="R47" s="262">
        <f t="shared" ref="R47:AC48" si="23">R13+R19+R25+R31+R37+R43</f>
        <v>0</v>
      </c>
      <c r="S47" s="262">
        <f t="shared" si="23"/>
        <v>0</v>
      </c>
      <c r="T47" s="262">
        <f t="shared" si="23"/>
        <v>0</v>
      </c>
      <c r="U47" s="262">
        <f t="shared" si="23"/>
        <v>0</v>
      </c>
      <c r="V47" s="262">
        <f t="shared" si="23"/>
        <v>0</v>
      </c>
      <c r="W47" s="262">
        <f t="shared" si="23"/>
        <v>0</v>
      </c>
      <c r="X47" s="262">
        <f t="shared" si="23"/>
        <v>0</v>
      </c>
      <c r="Y47" s="262">
        <f t="shared" si="23"/>
        <v>0</v>
      </c>
      <c r="Z47" s="262">
        <f t="shared" si="23"/>
        <v>0</v>
      </c>
      <c r="AA47" s="262">
        <f t="shared" si="23"/>
        <v>0</v>
      </c>
      <c r="AB47" s="262">
        <f t="shared" si="23"/>
        <v>0</v>
      </c>
      <c r="AC47" s="262">
        <f t="shared" si="23"/>
        <v>0</v>
      </c>
      <c r="AD47" s="233">
        <f t="shared" si="17"/>
        <v>0</v>
      </c>
      <c r="AE47" s="138"/>
      <c r="AF47" s="241"/>
    </row>
    <row r="48" spans="1:32" x14ac:dyDescent="0.35">
      <c r="A48" s="263" t="s">
        <v>107</v>
      </c>
      <c r="B48" s="289">
        <f>COGS_Annual_Total</f>
        <v>0</v>
      </c>
      <c r="C48" s="264">
        <f>C14+C20+C26+C32+C38+C44</f>
        <v>0</v>
      </c>
      <c r="D48" s="264">
        <f t="shared" si="22"/>
        <v>0</v>
      </c>
      <c r="E48" s="264">
        <f t="shared" si="22"/>
        <v>0</v>
      </c>
      <c r="F48" s="264">
        <f t="shared" si="22"/>
        <v>0</v>
      </c>
      <c r="G48" s="264">
        <f t="shared" si="22"/>
        <v>0</v>
      </c>
      <c r="H48" s="264">
        <f t="shared" si="22"/>
        <v>0</v>
      </c>
      <c r="I48" s="264">
        <f t="shared" si="22"/>
        <v>0</v>
      </c>
      <c r="J48" s="264">
        <f t="shared" si="22"/>
        <v>0</v>
      </c>
      <c r="K48" s="264">
        <f t="shared" si="22"/>
        <v>0</v>
      </c>
      <c r="L48" s="264">
        <f t="shared" si="22"/>
        <v>0</v>
      </c>
      <c r="M48" s="264">
        <f t="shared" si="22"/>
        <v>0</v>
      </c>
      <c r="N48" s="264">
        <f t="shared" si="22"/>
        <v>0</v>
      </c>
      <c r="O48" s="233">
        <f t="shared" si="15"/>
        <v>0</v>
      </c>
      <c r="P48" s="138"/>
      <c r="Q48" s="241"/>
      <c r="R48" s="264">
        <f>R14+R20+R26+R32+R38+R44</f>
        <v>0</v>
      </c>
      <c r="S48" s="264">
        <f t="shared" si="23"/>
        <v>0</v>
      </c>
      <c r="T48" s="264">
        <f t="shared" si="23"/>
        <v>0</v>
      </c>
      <c r="U48" s="264">
        <f t="shared" si="23"/>
        <v>0</v>
      </c>
      <c r="V48" s="264">
        <f t="shared" si="23"/>
        <v>0</v>
      </c>
      <c r="W48" s="264">
        <f t="shared" si="23"/>
        <v>0</v>
      </c>
      <c r="X48" s="264">
        <f t="shared" si="23"/>
        <v>0</v>
      </c>
      <c r="Y48" s="264">
        <f t="shared" si="23"/>
        <v>0</v>
      </c>
      <c r="Z48" s="264">
        <f t="shared" si="23"/>
        <v>0</v>
      </c>
      <c r="AA48" s="264">
        <f t="shared" si="23"/>
        <v>0</v>
      </c>
      <c r="AB48" s="264">
        <f t="shared" si="23"/>
        <v>0</v>
      </c>
      <c r="AC48" s="264">
        <f t="shared" si="23"/>
        <v>0</v>
      </c>
      <c r="AD48" s="233">
        <f t="shared" si="17"/>
        <v>0</v>
      </c>
      <c r="AE48" s="138"/>
      <c r="AF48" s="241"/>
    </row>
    <row r="49" spans="1:32" x14ac:dyDescent="0.35">
      <c r="A49" s="263" t="s">
        <v>104</v>
      </c>
      <c r="B49" s="289">
        <f>Margin_Annual_Total</f>
        <v>0</v>
      </c>
      <c r="C49" s="265">
        <f>C47-C48</f>
        <v>0</v>
      </c>
      <c r="D49" s="265">
        <f t="shared" ref="D49:N49" si="24">D47-D48</f>
        <v>0</v>
      </c>
      <c r="E49" s="265">
        <f t="shared" si="24"/>
        <v>0</v>
      </c>
      <c r="F49" s="265">
        <f t="shared" si="24"/>
        <v>0</v>
      </c>
      <c r="G49" s="265">
        <f t="shared" si="24"/>
        <v>0</v>
      </c>
      <c r="H49" s="265">
        <f t="shared" si="24"/>
        <v>0</v>
      </c>
      <c r="I49" s="265">
        <f t="shared" si="24"/>
        <v>0</v>
      </c>
      <c r="J49" s="265">
        <f t="shared" si="24"/>
        <v>0</v>
      </c>
      <c r="K49" s="265">
        <f t="shared" si="24"/>
        <v>0</v>
      </c>
      <c r="L49" s="265">
        <f t="shared" si="24"/>
        <v>0</v>
      </c>
      <c r="M49" s="265">
        <f t="shared" si="24"/>
        <v>0</v>
      </c>
      <c r="N49" s="265">
        <f t="shared" si="24"/>
        <v>0</v>
      </c>
      <c r="O49" s="246">
        <f>O15+O21+O27+O33+O39+O45</f>
        <v>0</v>
      </c>
      <c r="P49" s="138"/>
      <c r="Q49" s="241"/>
      <c r="R49" s="265">
        <f>R47-R48</f>
        <v>0</v>
      </c>
      <c r="S49" s="265">
        <f t="shared" ref="S49:AC49" si="25">S47-S48</f>
        <v>0</v>
      </c>
      <c r="T49" s="265">
        <f t="shared" si="25"/>
        <v>0</v>
      </c>
      <c r="U49" s="265">
        <f t="shared" si="25"/>
        <v>0</v>
      </c>
      <c r="V49" s="265">
        <f t="shared" si="25"/>
        <v>0</v>
      </c>
      <c r="W49" s="265">
        <f t="shared" si="25"/>
        <v>0</v>
      </c>
      <c r="X49" s="265">
        <f t="shared" si="25"/>
        <v>0</v>
      </c>
      <c r="Y49" s="265">
        <f t="shared" si="25"/>
        <v>0</v>
      </c>
      <c r="Z49" s="265">
        <f t="shared" si="25"/>
        <v>0</v>
      </c>
      <c r="AA49" s="265">
        <f t="shared" si="25"/>
        <v>0</v>
      </c>
      <c r="AB49" s="265">
        <f t="shared" si="25"/>
        <v>0</v>
      </c>
      <c r="AC49" s="265">
        <f t="shared" si="25"/>
        <v>0</v>
      </c>
      <c r="AD49" s="246">
        <f>AD15+AD21+AD27+AD33+AD39+AD45</f>
        <v>0</v>
      </c>
      <c r="AE49" s="138"/>
      <c r="AF49" s="241"/>
    </row>
  </sheetData>
  <sheetProtection formatColumns="0"/>
  <mergeCells count="1">
    <mergeCell ref="C5:D5"/>
  </mergeCells>
  <conditionalFormatting sqref="C12:N15">
    <cfRule type="containsBlanks" dxfId="58" priority="4" stopIfTrue="1">
      <formula>LEN(TRIM(C12))=0</formula>
    </cfRule>
  </conditionalFormatting>
  <conditionalFormatting sqref="C18:N21">
    <cfRule type="containsBlanks" dxfId="57" priority="5" stopIfTrue="1">
      <formula>LEN(TRIM(C18))=0</formula>
    </cfRule>
  </conditionalFormatting>
  <conditionalFormatting sqref="C42:N44 C24:N27 C30:N33 C36:N39">
    <cfRule type="containsBlanks" dxfId="56" priority="6" stopIfTrue="1">
      <formula>LEN(TRIM(C24))=0</formula>
    </cfRule>
  </conditionalFormatting>
  <conditionalFormatting sqref="R12:AC14">
    <cfRule type="containsBlanks" dxfId="55" priority="1" stopIfTrue="1">
      <formula>LEN(TRIM(R12))=0</formula>
    </cfRule>
  </conditionalFormatting>
  <conditionalFormatting sqref="R18:AC20">
    <cfRule type="containsBlanks" dxfId="54" priority="2" stopIfTrue="1">
      <formula>LEN(TRIM(R18))=0</formula>
    </cfRule>
  </conditionalFormatting>
  <conditionalFormatting sqref="R24:AC26 R30:AC32 R36:AC38 R42:AC44">
    <cfRule type="containsBlanks" dxfId="53" priority="3" stopIfTrue="1">
      <formula>LEN(TRIM(R24))=0</formula>
    </cfRule>
  </conditionalFormatting>
  <hyperlinks>
    <hyperlink ref="CF3" r:id="rId1"/>
  </hyperlinks>
  <printOptions horizontalCentered="1"/>
  <pageMargins left="0.7" right="0.7" top="0.75" bottom="0.75" header="0.3" footer="0.3"/>
  <pageSetup scale="57" fitToWidth="2" orientation="landscape" r:id="rId2"/>
  <headerFooter differentFirst="1" scaleWithDoc="0">
    <oddHeader>&amp;C&amp;"Gill Sans MT,Regular"&amp;12Sales Forecast Years 1-3</oddHeader>
    <oddFooter>&amp;L&amp;"Gill Sans MT,Regular"&amp;12&amp;F&amp;C&amp;"Gill Sans MT,Regular"&amp;12&amp;A&amp;R&amp;"Gill Sans MT,Regular"&amp;12&amp;D &amp;T</oddFooter>
    <evenHeader>&amp;C&amp;"Gill Sans MT,Regular"&amp;12Sales Forecast Years 1-3</evenHeader>
    <firstHeader>&amp;C&amp;"Gill Sans MT,Regular"&amp;12Sales Forecast Years 1-3</firstHeader>
    <firstFooter>&amp;L&amp;F&amp;C&amp;A&amp;R&amp;D &amp;T</firstFooter>
  </headerFooter>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R45"/>
  <sheetViews>
    <sheetView topLeftCell="A19" zoomScaleNormal="100" zoomScalePageLayoutView="50" workbookViewId="0">
      <selection activeCell="J32" sqref="J32"/>
    </sheetView>
  </sheetViews>
  <sheetFormatPr defaultColWidth="8.875" defaultRowHeight="15.75" x14ac:dyDescent="0.35"/>
  <cols>
    <col min="1" max="1" width="6.75" style="118" customWidth="1"/>
    <col min="2" max="2" width="30.875" style="120" bestFit="1" customWidth="1"/>
    <col min="3" max="3" width="17.375" style="120" bestFit="1" customWidth="1"/>
    <col min="4" max="4" width="13.375" style="120" bestFit="1" customWidth="1"/>
    <col min="5" max="5" width="9.75" style="120" customWidth="1"/>
    <col min="6" max="6" width="9.75" style="118" customWidth="1"/>
    <col min="7" max="11" width="9.75" style="120" customWidth="1"/>
    <col min="12" max="12" width="11.875" style="120" bestFit="1" customWidth="1"/>
    <col min="13" max="13" width="9.75" style="120" customWidth="1"/>
    <col min="14" max="15" width="11.125" style="120" bestFit="1" customWidth="1"/>
    <col min="16" max="16" width="15.75" style="120" bestFit="1" customWidth="1"/>
    <col min="17" max="18" width="9.25" style="120" customWidth="1"/>
    <col min="19" max="256" width="8.875" style="120"/>
    <col min="257" max="257" width="6.75" style="120" customWidth="1"/>
    <col min="258" max="258" width="30.875" style="120" bestFit="1" customWidth="1"/>
    <col min="259" max="259" width="17.375" style="120" bestFit="1" customWidth="1"/>
    <col min="260" max="260" width="13.375" style="120" bestFit="1" customWidth="1"/>
    <col min="261" max="267" width="9.75" style="120" customWidth="1"/>
    <col min="268" max="268" width="11.875" style="120" bestFit="1" customWidth="1"/>
    <col min="269" max="269" width="9.75" style="120" customWidth="1"/>
    <col min="270" max="271" width="11.125" style="120" bestFit="1" customWidth="1"/>
    <col min="272" max="272" width="15.75" style="120" bestFit="1" customWidth="1"/>
    <col min="273" max="274" width="9.25" style="120" customWidth="1"/>
    <col min="275" max="512" width="8.875" style="120"/>
    <col min="513" max="513" width="6.75" style="120" customWidth="1"/>
    <col min="514" max="514" width="30.875" style="120" bestFit="1" customWidth="1"/>
    <col min="515" max="515" width="17.375" style="120" bestFit="1" customWidth="1"/>
    <col min="516" max="516" width="13.375" style="120" bestFit="1" customWidth="1"/>
    <col min="517" max="523" width="9.75" style="120" customWidth="1"/>
    <col min="524" max="524" width="11.875" style="120" bestFit="1" customWidth="1"/>
    <col min="525" max="525" width="9.75" style="120" customWidth="1"/>
    <col min="526" max="527" width="11.125" style="120" bestFit="1" customWidth="1"/>
    <col min="528" max="528" width="15.75" style="120" bestFit="1" customWidth="1"/>
    <col min="529" max="530" width="9.25" style="120" customWidth="1"/>
    <col min="531" max="768" width="8.875" style="120"/>
    <col min="769" max="769" width="6.75" style="120" customWidth="1"/>
    <col min="770" max="770" width="30.875" style="120" bestFit="1" customWidth="1"/>
    <col min="771" max="771" width="17.375" style="120" bestFit="1" customWidth="1"/>
    <col min="772" max="772" width="13.375" style="120" bestFit="1" customWidth="1"/>
    <col min="773" max="779" width="9.75" style="120" customWidth="1"/>
    <col min="780" max="780" width="11.875" style="120" bestFit="1" customWidth="1"/>
    <col min="781" max="781" width="9.75" style="120" customWidth="1"/>
    <col min="782" max="783" width="11.125" style="120" bestFit="1" customWidth="1"/>
    <col min="784" max="784" width="15.75" style="120" bestFit="1" customWidth="1"/>
    <col min="785" max="786" width="9.25" style="120" customWidth="1"/>
    <col min="787" max="1024" width="8.875" style="120"/>
    <col min="1025" max="1025" width="6.75" style="120" customWidth="1"/>
    <col min="1026" max="1026" width="30.875" style="120" bestFit="1" customWidth="1"/>
    <col min="1027" max="1027" width="17.375" style="120" bestFit="1" customWidth="1"/>
    <col min="1028" max="1028" width="13.375" style="120" bestFit="1" customWidth="1"/>
    <col min="1029" max="1035" width="9.75" style="120" customWidth="1"/>
    <col min="1036" max="1036" width="11.875" style="120" bestFit="1" customWidth="1"/>
    <col min="1037" max="1037" width="9.75" style="120" customWidth="1"/>
    <col min="1038" max="1039" width="11.125" style="120" bestFit="1" customWidth="1"/>
    <col min="1040" max="1040" width="15.75" style="120" bestFit="1" customWidth="1"/>
    <col min="1041" max="1042" width="9.25" style="120" customWidth="1"/>
    <col min="1043" max="1280" width="8.875" style="120"/>
    <col min="1281" max="1281" width="6.75" style="120" customWidth="1"/>
    <col min="1282" max="1282" width="30.875" style="120" bestFit="1" customWidth="1"/>
    <col min="1283" max="1283" width="17.375" style="120" bestFit="1" customWidth="1"/>
    <col min="1284" max="1284" width="13.375" style="120" bestFit="1" customWidth="1"/>
    <col min="1285" max="1291" width="9.75" style="120" customWidth="1"/>
    <col min="1292" max="1292" width="11.875" style="120" bestFit="1" customWidth="1"/>
    <col min="1293" max="1293" width="9.75" style="120" customWidth="1"/>
    <col min="1294" max="1295" width="11.125" style="120" bestFit="1" customWidth="1"/>
    <col min="1296" max="1296" width="15.75" style="120" bestFit="1" customWidth="1"/>
    <col min="1297" max="1298" width="9.25" style="120" customWidth="1"/>
    <col min="1299" max="1536" width="8.875" style="120"/>
    <col min="1537" max="1537" width="6.75" style="120" customWidth="1"/>
    <col min="1538" max="1538" width="30.875" style="120" bestFit="1" customWidth="1"/>
    <col min="1539" max="1539" width="17.375" style="120" bestFit="1" customWidth="1"/>
    <col min="1540" max="1540" width="13.375" style="120" bestFit="1" customWidth="1"/>
    <col min="1541" max="1547" width="9.75" style="120" customWidth="1"/>
    <col min="1548" max="1548" width="11.875" style="120" bestFit="1" customWidth="1"/>
    <col min="1549" max="1549" width="9.75" style="120" customWidth="1"/>
    <col min="1550" max="1551" width="11.125" style="120" bestFit="1" customWidth="1"/>
    <col min="1552" max="1552" width="15.75" style="120" bestFit="1" customWidth="1"/>
    <col min="1553" max="1554" width="9.25" style="120" customWidth="1"/>
    <col min="1555" max="1792" width="8.875" style="120"/>
    <col min="1793" max="1793" width="6.75" style="120" customWidth="1"/>
    <col min="1794" max="1794" width="30.875" style="120" bestFit="1" customWidth="1"/>
    <col min="1795" max="1795" width="17.375" style="120" bestFit="1" customWidth="1"/>
    <col min="1796" max="1796" width="13.375" style="120" bestFit="1" customWidth="1"/>
    <col min="1797" max="1803" width="9.75" style="120" customWidth="1"/>
    <col min="1804" max="1804" width="11.875" style="120" bestFit="1" customWidth="1"/>
    <col min="1805" max="1805" width="9.75" style="120" customWidth="1"/>
    <col min="1806" max="1807" width="11.125" style="120" bestFit="1" customWidth="1"/>
    <col min="1808" max="1808" width="15.75" style="120" bestFit="1" customWidth="1"/>
    <col min="1809" max="1810" width="9.25" style="120" customWidth="1"/>
    <col min="1811" max="2048" width="8.875" style="120"/>
    <col min="2049" max="2049" width="6.75" style="120" customWidth="1"/>
    <col min="2050" max="2050" width="30.875" style="120" bestFit="1" customWidth="1"/>
    <col min="2051" max="2051" width="17.375" style="120" bestFit="1" customWidth="1"/>
    <col min="2052" max="2052" width="13.375" style="120" bestFit="1" customWidth="1"/>
    <col min="2053" max="2059" width="9.75" style="120" customWidth="1"/>
    <col min="2060" max="2060" width="11.875" style="120" bestFit="1" customWidth="1"/>
    <col min="2061" max="2061" width="9.75" style="120" customWidth="1"/>
    <col min="2062" max="2063" width="11.125" style="120" bestFit="1" customWidth="1"/>
    <col min="2064" max="2064" width="15.75" style="120" bestFit="1" customWidth="1"/>
    <col min="2065" max="2066" width="9.25" style="120" customWidth="1"/>
    <col min="2067" max="2304" width="8.875" style="120"/>
    <col min="2305" max="2305" width="6.75" style="120" customWidth="1"/>
    <col min="2306" max="2306" width="30.875" style="120" bestFit="1" customWidth="1"/>
    <col min="2307" max="2307" width="17.375" style="120" bestFit="1" customWidth="1"/>
    <col min="2308" max="2308" width="13.375" style="120" bestFit="1" customWidth="1"/>
    <col min="2309" max="2315" width="9.75" style="120" customWidth="1"/>
    <col min="2316" max="2316" width="11.875" style="120" bestFit="1" customWidth="1"/>
    <col min="2317" max="2317" width="9.75" style="120" customWidth="1"/>
    <col min="2318" max="2319" width="11.125" style="120" bestFit="1" customWidth="1"/>
    <col min="2320" max="2320" width="15.75" style="120" bestFit="1" customWidth="1"/>
    <col min="2321" max="2322" width="9.25" style="120" customWidth="1"/>
    <col min="2323" max="2560" width="8.875" style="120"/>
    <col min="2561" max="2561" width="6.75" style="120" customWidth="1"/>
    <col min="2562" max="2562" width="30.875" style="120" bestFit="1" customWidth="1"/>
    <col min="2563" max="2563" width="17.375" style="120" bestFit="1" customWidth="1"/>
    <col min="2564" max="2564" width="13.375" style="120" bestFit="1" customWidth="1"/>
    <col min="2565" max="2571" width="9.75" style="120" customWidth="1"/>
    <col min="2572" max="2572" width="11.875" style="120" bestFit="1" customWidth="1"/>
    <col min="2573" max="2573" width="9.75" style="120" customWidth="1"/>
    <col min="2574" max="2575" width="11.125" style="120" bestFit="1" customWidth="1"/>
    <col min="2576" max="2576" width="15.75" style="120" bestFit="1" customWidth="1"/>
    <col min="2577" max="2578" width="9.25" style="120" customWidth="1"/>
    <col min="2579" max="2816" width="8.875" style="120"/>
    <col min="2817" max="2817" width="6.75" style="120" customWidth="1"/>
    <col min="2818" max="2818" width="30.875" style="120" bestFit="1" customWidth="1"/>
    <col min="2819" max="2819" width="17.375" style="120" bestFit="1" customWidth="1"/>
    <col min="2820" max="2820" width="13.375" style="120" bestFit="1" customWidth="1"/>
    <col min="2821" max="2827" width="9.75" style="120" customWidth="1"/>
    <col min="2828" max="2828" width="11.875" style="120" bestFit="1" customWidth="1"/>
    <col min="2829" max="2829" width="9.75" style="120" customWidth="1"/>
    <col min="2830" max="2831" width="11.125" style="120" bestFit="1" customWidth="1"/>
    <col min="2832" max="2832" width="15.75" style="120" bestFit="1" customWidth="1"/>
    <col min="2833" max="2834" width="9.25" style="120" customWidth="1"/>
    <col min="2835" max="3072" width="8.875" style="120"/>
    <col min="3073" max="3073" width="6.75" style="120" customWidth="1"/>
    <col min="3074" max="3074" width="30.875" style="120" bestFit="1" customWidth="1"/>
    <col min="3075" max="3075" width="17.375" style="120" bestFit="1" customWidth="1"/>
    <col min="3076" max="3076" width="13.375" style="120" bestFit="1" customWidth="1"/>
    <col min="3077" max="3083" width="9.75" style="120" customWidth="1"/>
    <col min="3084" max="3084" width="11.875" style="120" bestFit="1" customWidth="1"/>
    <col min="3085" max="3085" width="9.75" style="120" customWidth="1"/>
    <col min="3086" max="3087" width="11.125" style="120" bestFit="1" customWidth="1"/>
    <col min="3088" max="3088" width="15.75" style="120" bestFit="1" customWidth="1"/>
    <col min="3089" max="3090" width="9.25" style="120" customWidth="1"/>
    <col min="3091" max="3328" width="8.875" style="120"/>
    <col min="3329" max="3329" width="6.75" style="120" customWidth="1"/>
    <col min="3330" max="3330" width="30.875" style="120" bestFit="1" customWidth="1"/>
    <col min="3331" max="3331" width="17.375" style="120" bestFit="1" customWidth="1"/>
    <col min="3332" max="3332" width="13.375" style="120" bestFit="1" customWidth="1"/>
    <col min="3333" max="3339" width="9.75" style="120" customWidth="1"/>
    <col min="3340" max="3340" width="11.875" style="120" bestFit="1" customWidth="1"/>
    <col min="3341" max="3341" width="9.75" style="120" customWidth="1"/>
    <col min="3342" max="3343" width="11.125" style="120" bestFit="1" customWidth="1"/>
    <col min="3344" max="3344" width="15.75" style="120" bestFit="1" customWidth="1"/>
    <col min="3345" max="3346" width="9.25" style="120" customWidth="1"/>
    <col min="3347" max="3584" width="8.875" style="120"/>
    <col min="3585" max="3585" width="6.75" style="120" customWidth="1"/>
    <col min="3586" max="3586" width="30.875" style="120" bestFit="1" customWidth="1"/>
    <col min="3587" max="3587" width="17.375" style="120" bestFit="1" customWidth="1"/>
    <col min="3588" max="3588" width="13.375" style="120" bestFit="1" customWidth="1"/>
    <col min="3589" max="3595" width="9.75" style="120" customWidth="1"/>
    <col min="3596" max="3596" width="11.875" style="120" bestFit="1" customWidth="1"/>
    <col min="3597" max="3597" width="9.75" style="120" customWidth="1"/>
    <col min="3598" max="3599" width="11.125" style="120" bestFit="1" customWidth="1"/>
    <col min="3600" max="3600" width="15.75" style="120" bestFit="1" customWidth="1"/>
    <col min="3601" max="3602" width="9.25" style="120" customWidth="1"/>
    <col min="3603" max="3840" width="8.875" style="120"/>
    <col min="3841" max="3841" width="6.75" style="120" customWidth="1"/>
    <col min="3842" max="3842" width="30.875" style="120" bestFit="1" customWidth="1"/>
    <col min="3843" max="3843" width="17.375" style="120" bestFit="1" customWidth="1"/>
    <col min="3844" max="3844" width="13.375" style="120" bestFit="1" customWidth="1"/>
    <col min="3845" max="3851" width="9.75" style="120" customWidth="1"/>
    <col min="3852" max="3852" width="11.875" style="120" bestFit="1" customWidth="1"/>
    <col min="3853" max="3853" width="9.75" style="120" customWidth="1"/>
    <col min="3854" max="3855" width="11.125" style="120" bestFit="1" customWidth="1"/>
    <col min="3856" max="3856" width="15.75" style="120" bestFit="1" customWidth="1"/>
    <col min="3857" max="3858" width="9.25" style="120" customWidth="1"/>
    <col min="3859" max="4096" width="8.875" style="120"/>
    <col min="4097" max="4097" width="6.75" style="120" customWidth="1"/>
    <col min="4098" max="4098" width="30.875" style="120" bestFit="1" customWidth="1"/>
    <col min="4099" max="4099" width="17.375" style="120" bestFit="1" customWidth="1"/>
    <col min="4100" max="4100" width="13.375" style="120" bestFit="1" customWidth="1"/>
    <col min="4101" max="4107" width="9.75" style="120" customWidth="1"/>
    <col min="4108" max="4108" width="11.875" style="120" bestFit="1" customWidth="1"/>
    <col min="4109" max="4109" width="9.75" style="120" customWidth="1"/>
    <col min="4110" max="4111" width="11.125" style="120" bestFit="1" customWidth="1"/>
    <col min="4112" max="4112" width="15.75" style="120" bestFit="1" customWidth="1"/>
    <col min="4113" max="4114" width="9.25" style="120" customWidth="1"/>
    <col min="4115" max="4352" width="8.875" style="120"/>
    <col min="4353" max="4353" width="6.75" style="120" customWidth="1"/>
    <col min="4354" max="4354" width="30.875" style="120" bestFit="1" customWidth="1"/>
    <col min="4355" max="4355" width="17.375" style="120" bestFit="1" customWidth="1"/>
    <col min="4356" max="4356" width="13.375" style="120" bestFit="1" customWidth="1"/>
    <col min="4357" max="4363" width="9.75" style="120" customWidth="1"/>
    <col min="4364" max="4364" width="11.875" style="120" bestFit="1" customWidth="1"/>
    <col min="4365" max="4365" width="9.75" style="120" customWidth="1"/>
    <col min="4366" max="4367" width="11.125" style="120" bestFit="1" customWidth="1"/>
    <col min="4368" max="4368" width="15.75" style="120" bestFit="1" customWidth="1"/>
    <col min="4369" max="4370" width="9.25" style="120" customWidth="1"/>
    <col min="4371" max="4608" width="8.875" style="120"/>
    <col min="4609" max="4609" width="6.75" style="120" customWidth="1"/>
    <col min="4610" max="4610" width="30.875" style="120" bestFit="1" customWidth="1"/>
    <col min="4611" max="4611" width="17.375" style="120" bestFit="1" customWidth="1"/>
    <col min="4612" max="4612" width="13.375" style="120" bestFit="1" customWidth="1"/>
    <col min="4613" max="4619" width="9.75" style="120" customWidth="1"/>
    <col min="4620" max="4620" width="11.875" style="120" bestFit="1" customWidth="1"/>
    <col min="4621" max="4621" width="9.75" style="120" customWidth="1"/>
    <col min="4622" max="4623" width="11.125" style="120" bestFit="1" customWidth="1"/>
    <col min="4624" max="4624" width="15.75" style="120" bestFit="1" customWidth="1"/>
    <col min="4625" max="4626" width="9.25" style="120" customWidth="1"/>
    <col min="4627" max="4864" width="8.875" style="120"/>
    <col min="4865" max="4865" width="6.75" style="120" customWidth="1"/>
    <col min="4866" max="4866" width="30.875" style="120" bestFit="1" customWidth="1"/>
    <col min="4867" max="4867" width="17.375" style="120" bestFit="1" customWidth="1"/>
    <col min="4868" max="4868" width="13.375" style="120" bestFit="1" customWidth="1"/>
    <col min="4869" max="4875" width="9.75" style="120" customWidth="1"/>
    <col min="4876" max="4876" width="11.875" style="120" bestFit="1" customWidth="1"/>
    <col min="4877" max="4877" width="9.75" style="120" customWidth="1"/>
    <col min="4878" max="4879" width="11.125" style="120" bestFit="1" customWidth="1"/>
    <col min="4880" max="4880" width="15.75" style="120" bestFit="1" customWidth="1"/>
    <col min="4881" max="4882" width="9.25" style="120" customWidth="1"/>
    <col min="4883" max="5120" width="8.875" style="120"/>
    <col min="5121" max="5121" width="6.75" style="120" customWidth="1"/>
    <col min="5122" max="5122" width="30.875" style="120" bestFit="1" customWidth="1"/>
    <col min="5123" max="5123" width="17.375" style="120" bestFit="1" customWidth="1"/>
    <col min="5124" max="5124" width="13.375" style="120" bestFit="1" customWidth="1"/>
    <col min="5125" max="5131" width="9.75" style="120" customWidth="1"/>
    <col min="5132" max="5132" width="11.875" style="120" bestFit="1" customWidth="1"/>
    <col min="5133" max="5133" width="9.75" style="120" customWidth="1"/>
    <col min="5134" max="5135" width="11.125" style="120" bestFit="1" customWidth="1"/>
    <col min="5136" max="5136" width="15.75" style="120" bestFit="1" customWidth="1"/>
    <col min="5137" max="5138" width="9.25" style="120" customWidth="1"/>
    <col min="5139" max="5376" width="8.875" style="120"/>
    <col min="5377" max="5377" width="6.75" style="120" customWidth="1"/>
    <col min="5378" max="5378" width="30.875" style="120" bestFit="1" customWidth="1"/>
    <col min="5379" max="5379" width="17.375" style="120" bestFit="1" customWidth="1"/>
    <col min="5380" max="5380" width="13.375" style="120" bestFit="1" customWidth="1"/>
    <col min="5381" max="5387" width="9.75" style="120" customWidth="1"/>
    <col min="5388" max="5388" width="11.875" style="120" bestFit="1" customWidth="1"/>
    <col min="5389" max="5389" width="9.75" style="120" customWidth="1"/>
    <col min="5390" max="5391" width="11.125" style="120" bestFit="1" customWidth="1"/>
    <col min="5392" max="5392" width="15.75" style="120" bestFit="1" customWidth="1"/>
    <col min="5393" max="5394" width="9.25" style="120" customWidth="1"/>
    <col min="5395" max="5632" width="8.875" style="120"/>
    <col min="5633" max="5633" width="6.75" style="120" customWidth="1"/>
    <col min="5634" max="5634" width="30.875" style="120" bestFit="1" customWidth="1"/>
    <col min="5635" max="5635" width="17.375" style="120" bestFit="1" customWidth="1"/>
    <col min="5636" max="5636" width="13.375" style="120" bestFit="1" customWidth="1"/>
    <col min="5637" max="5643" width="9.75" style="120" customWidth="1"/>
    <col min="5644" max="5644" width="11.875" style="120" bestFit="1" customWidth="1"/>
    <col min="5645" max="5645" width="9.75" style="120" customWidth="1"/>
    <col min="5646" max="5647" width="11.125" style="120" bestFit="1" customWidth="1"/>
    <col min="5648" max="5648" width="15.75" style="120" bestFit="1" customWidth="1"/>
    <col min="5649" max="5650" width="9.25" style="120" customWidth="1"/>
    <col min="5651" max="5888" width="8.875" style="120"/>
    <col min="5889" max="5889" width="6.75" style="120" customWidth="1"/>
    <col min="5890" max="5890" width="30.875" style="120" bestFit="1" customWidth="1"/>
    <col min="5891" max="5891" width="17.375" style="120" bestFit="1" customWidth="1"/>
    <col min="5892" max="5892" width="13.375" style="120" bestFit="1" customWidth="1"/>
    <col min="5893" max="5899" width="9.75" style="120" customWidth="1"/>
    <col min="5900" max="5900" width="11.875" style="120" bestFit="1" customWidth="1"/>
    <col min="5901" max="5901" width="9.75" style="120" customWidth="1"/>
    <col min="5902" max="5903" width="11.125" style="120" bestFit="1" customWidth="1"/>
    <col min="5904" max="5904" width="15.75" style="120" bestFit="1" customWidth="1"/>
    <col min="5905" max="5906" width="9.25" style="120" customWidth="1"/>
    <col min="5907" max="6144" width="8.875" style="120"/>
    <col min="6145" max="6145" width="6.75" style="120" customWidth="1"/>
    <col min="6146" max="6146" width="30.875" style="120" bestFit="1" customWidth="1"/>
    <col min="6147" max="6147" width="17.375" style="120" bestFit="1" customWidth="1"/>
    <col min="6148" max="6148" width="13.375" style="120" bestFit="1" customWidth="1"/>
    <col min="6149" max="6155" width="9.75" style="120" customWidth="1"/>
    <col min="6156" max="6156" width="11.875" style="120" bestFit="1" customWidth="1"/>
    <col min="6157" max="6157" width="9.75" style="120" customWidth="1"/>
    <col min="6158" max="6159" width="11.125" style="120" bestFit="1" customWidth="1"/>
    <col min="6160" max="6160" width="15.75" style="120" bestFit="1" customWidth="1"/>
    <col min="6161" max="6162" width="9.25" style="120" customWidth="1"/>
    <col min="6163" max="6400" width="8.875" style="120"/>
    <col min="6401" max="6401" width="6.75" style="120" customWidth="1"/>
    <col min="6402" max="6402" width="30.875" style="120" bestFit="1" customWidth="1"/>
    <col min="6403" max="6403" width="17.375" style="120" bestFit="1" customWidth="1"/>
    <col min="6404" max="6404" width="13.375" style="120" bestFit="1" customWidth="1"/>
    <col min="6405" max="6411" width="9.75" style="120" customWidth="1"/>
    <col min="6412" max="6412" width="11.875" style="120" bestFit="1" customWidth="1"/>
    <col min="6413" max="6413" width="9.75" style="120" customWidth="1"/>
    <col min="6414" max="6415" width="11.125" style="120" bestFit="1" customWidth="1"/>
    <col min="6416" max="6416" width="15.75" style="120" bestFit="1" customWidth="1"/>
    <col min="6417" max="6418" width="9.25" style="120" customWidth="1"/>
    <col min="6419" max="6656" width="8.875" style="120"/>
    <col min="6657" max="6657" width="6.75" style="120" customWidth="1"/>
    <col min="6658" max="6658" width="30.875" style="120" bestFit="1" customWidth="1"/>
    <col min="6659" max="6659" width="17.375" style="120" bestFit="1" customWidth="1"/>
    <col min="6660" max="6660" width="13.375" style="120" bestFit="1" customWidth="1"/>
    <col min="6661" max="6667" width="9.75" style="120" customWidth="1"/>
    <col min="6668" max="6668" width="11.875" style="120" bestFit="1" customWidth="1"/>
    <col min="6669" max="6669" width="9.75" style="120" customWidth="1"/>
    <col min="6670" max="6671" width="11.125" style="120" bestFit="1" customWidth="1"/>
    <col min="6672" max="6672" width="15.75" style="120" bestFit="1" customWidth="1"/>
    <col min="6673" max="6674" width="9.25" style="120" customWidth="1"/>
    <col min="6675" max="6912" width="8.875" style="120"/>
    <col min="6913" max="6913" width="6.75" style="120" customWidth="1"/>
    <col min="6914" max="6914" width="30.875" style="120" bestFit="1" customWidth="1"/>
    <col min="6915" max="6915" width="17.375" style="120" bestFit="1" customWidth="1"/>
    <col min="6916" max="6916" width="13.375" style="120" bestFit="1" customWidth="1"/>
    <col min="6917" max="6923" width="9.75" style="120" customWidth="1"/>
    <col min="6924" max="6924" width="11.875" style="120" bestFit="1" customWidth="1"/>
    <col min="6925" max="6925" width="9.75" style="120" customWidth="1"/>
    <col min="6926" max="6927" width="11.125" style="120" bestFit="1" customWidth="1"/>
    <col min="6928" max="6928" width="15.75" style="120" bestFit="1" customWidth="1"/>
    <col min="6929" max="6930" width="9.25" style="120" customWidth="1"/>
    <col min="6931" max="7168" width="8.875" style="120"/>
    <col min="7169" max="7169" width="6.75" style="120" customWidth="1"/>
    <col min="7170" max="7170" width="30.875" style="120" bestFit="1" customWidth="1"/>
    <col min="7171" max="7171" width="17.375" style="120" bestFit="1" customWidth="1"/>
    <col min="7172" max="7172" width="13.375" style="120" bestFit="1" customWidth="1"/>
    <col min="7173" max="7179" width="9.75" style="120" customWidth="1"/>
    <col min="7180" max="7180" width="11.875" style="120" bestFit="1" customWidth="1"/>
    <col min="7181" max="7181" width="9.75" style="120" customWidth="1"/>
    <col min="7182" max="7183" width="11.125" style="120" bestFit="1" customWidth="1"/>
    <col min="7184" max="7184" width="15.75" style="120" bestFit="1" customWidth="1"/>
    <col min="7185" max="7186" width="9.25" style="120" customWidth="1"/>
    <col min="7187" max="7424" width="8.875" style="120"/>
    <col min="7425" max="7425" width="6.75" style="120" customWidth="1"/>
    <col min="7426" max="7426" width="30.875" style="120" bestFit="1" customWidth="1"/>
    <col min="7427" max="7427" width="17.375" style="120" bestFit="1" customWidth="1"/>
    <col min="7428" max="7428" width="13.375" style="120" bestFit="1" customWidth="1"/>
    <col min="7429" max="7435" width="9.75" style="120" customWidth="1"/>
    <col min="7436" max="7436" width="11.875" style="120" bestFit="1" customWidth="1"/>
    <col min="7437" max="7437" width="9.75" style="120" customWidth="1"/>
    <col min="7438" max="7439" width="11.125" style="120" bestFit="1" customWidth="1"/>
    <col min="7440" max="7440" width="15.75" style="120" bestFit="1" customWidth="1"/>
    <col min="7441" max="7442" width="9.25" style="120" customWidth="1"/>
    <col min="7443" max="7680" width="8.875" style="120"/>
    <col min="7681" max="7681" width="6.75" style="120" customWidth="1"/>
    <col min="7682" max="7682" width="30.875" style="120" bestFit="1" customWidth="1"/>
    <col min="7683" max="7683" width="17.375" style="120" bestFit="1" customWidth="1"/>
    <col min="7684" max="7684" width="13.375" style="120" bestFit="1" customWidth="1"/>
    <col min="7685" max="7691" width="9.75" style="120" customWidth="1"/>
    <col min="7692" max="7692" width="11.875" style="120" bestFit="1" customWidth="1"/>
    <col min="7693" max="7693" width="9.75" style="120" customWidth="1"/>
    <col min="7694" max="7695" width="11.125" style="120" bestFit="1" customWidth="1"/>
    <col min="7696" max="7696" width="15.75" style="120" bestFit="1" customWidth="1"/>
    <col min="7697" max="7698" width="9.25" style="120" customWidth="1"/>
    <col min="7699" max="7936" width="8.875" style="120"/>
    <col min="7937" max="7937" width="6.75" style="120" customWidth="1"/>
    <col min="7938" max="7938" width="30.875" style="120" bestFit="1" customWidth="1"/>
    <col min="7939" max="7939" width="17.375" style="120" bestFit="1" customWidth="1"/>
    <col min="7940" max="7940" width="13.375" style="120" bestFit="1" customWidth="1"/>
    <col min="7941" max="7947" width="9.75" style="120" customWidth="1"/>
    <col min="7948" max="7948" width="11.875" style="120" bestFit="1" customWidth="1"/>
    <col min="7949" max="7949" width="9.75" style="120" customWidth="1"/>
    <col min="7950" max="7951" width="11.125" style="120" bestFit="1" customWidth="1"/>
    <col min="7952" max="7952" width="15.75" style="120" bestFit="1" customWidth="1"/>
    <col min="7953" max="7954" width="9.25" style="120" customWidth="1"/>
    <col min="7955" max="8192" width="8.875" style="120"/>
    <col min="8193" max="8193" width="6.75" style="120" customWidth="1"/>
    <col min="8194" max="8194" width="30.875" style="120" bestFit="1" customWidth="1"/>
    <col min="8195" max="8195" width="17.375" style="120" bestFit="1" customWidth="1"/>
    <col min="8196" max="8196" width="13.375" style="120" bestFit="1" customWidth="1"/>
    <col min="8197" max="8203" width="9.75" style="120" customWidth="1"/>
    <col min="8204" max="8204" width="11.875" style="120" bestFit="1" customWidth="1"/>
    <col min="8205" max="8205" width="9.75" style="120" customWidth="1"/>
    <col min="8206" max="8207" width="11.125" style="120" bestFit="1" customWidth="1"/>
    <col min="8208" max="8208" width="15.75" style="120" bestFit="1" customWidth="1"/>
    <col min="8209" max="8210" width="9.25" style="120" customWidth="1"/>
    <col min="8211" max="8448" width="8.875" style="120"/>
    <col min="8449" max="8449" width="6.75" style="120" customWidth="1"/>
    <col min="8450" max="8450" width="30.875" style="120" bestFit="1" customWidth="1"/>
    <col min="8451" max="8451" width="17.375" style="120" bestFit="1" customWidth="1"/>
    <col min="8452" max="8452" width="13.375" style="120" bestFit="1" customWidth="1"/>
    <col min="8453" max="8459" width="9.75" style="120" customWidth="1"/>
    <col min="8460" max="8460" width="11.875" style="120" bestFit="1" customWidth="1"/>
    <col min="8461" max="8461" width="9.75" style="120" customWidth="1"/>
    <col min="8462" max="8463" width="11.125" style="120" bestFit="1" customWidth="1"/>
    <col min="8464" max="8464" width="15.75" style="120" bestFit="1" customWidth="1"/>
    <col min="8465" max="8466" width="9.25" style="120" customWidth="1"/>
    <col min="8467" max="8704" width="8.875" style="120"/>
    <col min="8705" max="8705" width="6.75" style="120" customWidth="1"/>
    <col min="8706" max="8706" width="30.875" style="120" bestFit="1" customWidth="1"/>
    <col min="8707" max="8707" width="17.375" style="120" bestFit="1" customWidth="1"/>
    <col min="8708" max="8708" width="13.375" style="120" bestFit="1" customWidth="1"/>
    <col min="8709" max="8715" width="9.75" style="120" customWidth="1"/>
    <col min="8716" max="8716" width="11.875" style="120" bestFit="1" customWidth="1"/>
    <col min="8717" max="8717" width="9.75" style="120" customWidth="1"/>
    <col min="8718" max="8719" width="11.125" style="120" bestFit="1" customWidth="1"/>
    <col min="8720" max="8720" width="15.75" style="120" bestFit="1" customWidth="1"/>
    <col min="8721" max="8722" width="9.25" style="120" customWidth="1"/>
    <col min="8723" max="8960" width="8.875" style="120"/>
    <col min="8961" max="8961" width="6.75" style="120" customWidth="1"/>
    <col min="8962" max="8962" width="30.875" style="120" bestFit="1" customWidth="1"/>
    <col min="8963" max="8963" width="17.375" style="120" bestFit="1" customWidth="1"/>
    <col min="8964" max="8964" width="13.375" style="120" bestFit="1" customWidth="1"/>
    <col min="8965" max="8971" width="9.75" style="120" customWidth="1"/>
    <col min="8972" max="8972" width="11.875" style="120" bestFit="1" customWidth="1"/>
    <col min="8973" max="8973" width="9.75" style="120" customWidth="1"/>
    <col min="8974" max="8975" width="11.125" style="120" bestFit="1" customWidth="1"/>
    <col min="8976" max="8976" width="15.75" style="120" bestFit="1" customWidth="1"/>
    <col min="8977" max="8978" width="9.25" style="120" customWidth="1"/>
    <col min="8979" max="9216" width="8.875" style="120"/>
    <col min="9217" max="9217" width="6.75" style="120" customWidth="1"/>
    <col min="9218" max="9218" width="30.875" style="120" bestFit="1" customWidth="1"/>
    <col min="9219" max="9219" width="17.375" style="120" bestFit="1" customWidth="1"/>
    <col min="9220" max="9220" width="13.375" style="120" bestFit="1" customWidth="1"/>
    <col min="9221" max="9227" width="9.75" style="120" customWidth="1"/>
    <col min="9228" max="9228" width="11.875" style="120" bestFit="1" customWidth="1"/>
    <col min="9229" max="9229" width="9.75" style="120" customWidth="1"/>
    <col min="9230" max="9231" width="11.125" style="120" bestFit="1" customWidth="1"/>
    <col min="9232" max="9232" width="15.75" style="120" bestFit="1" customWidth="1"/>
    <col min="9233" max="9234" width="9.25" style="120" customWidth="1"/>
    <col min="9235" max="9472" width="8.875" style="120"/>
    <col min="9473" max="9473" width="6.75" style="120" customWidth="1"/>
    <col min="9474" max="9474" width="30.875" style="120" bestFit="1" customWidth="1"/>
    <col min="9475" max="9475" width="17.375" style="120" bestFit="1" customWidth="1"/>
    <col min="9476" max="9476" width="13.375" style="120" bestFit="1" customWidth="1"/>
    <col min="9477" max="9483" width="9.75" style="120" customWidth="1"/>
    <col min="9484" max="9484" width="11.875" style="120" bestFit="1" customWidth="1"/>
    <col min="9485" max="9485" width="9.75" style="120" customWidth="1"/>
    <col min="9486" max="9487" width="11.125" style="120" bestFit="1" customWidth="1"/>
    <col min="9488" max="9488" width="15.75" style="120" bestFit="1" customWidth="1"/>
    <col min="9489" max="9490" width="9.25" style="120" customWidth="1"/>
    <col min="9491" max="9728" width="8.875" style="120"/>
    <col min="9729" max="9729" width="6.75" style="120" customWidth="1"/>
    <col min="9730" max="9730" width="30.875" style="120" bestFit="1" customWidth="1"/>
    <col min="9731" max="9731" width="17.375" style="120" bestFit="1" customWidth="1"/>
    <col min="9732" max="9732" width="13.375" style="120" bestFit="1" customWidth="1"/>
    <col min="9733" max="9739" width="9.75" style="120" customWidth="1"/>
    <col min="9740" max="9740" width="11.875" style="120" bestFit="1" customWidth="1"/>
    <col min="9741" max="9741" width="9.75" style="120" customWidth="1"/>
    <col min="9742" max="9743" width="11.125" style="120" bestFit="1" customWidth="1"/>
    <col min="9744" max="9744" width="15.75" style="120" bestFit="1" customWidth="1"/>
    <col min="9745" max="9746" width="9.25" style="120" customWidth="1"/>
    <col min="9747" max="9984" width="8.875" style="120"/>
    <col min="9985" max="9985" width="6.75" style="120" customWidth="1"/>
    <col min="9986" max="9986" width="30.875" style="120" bestFit="1" customWidth="1"/>
    <col min="9987" max="9987" width="17.375" style="120" bestFit="1" customWidth="1"/>
    <col min="9988" max="9988" width="13.375" style="120" bestFit="1" customWidth="1"/>
    <col min="9989" max="9995" width="9.75" style="120" customWidth="1"/>
    <col min="9996" max="9996" width="11.875" style="120" bestFit="1" customWidth="1"/>
    <col min="9997" max="9997" width="9.75" style="120" customWidth="1"/>
    <col min="9998" max="9999" width="11.125" style="120" bestFit="1" customWidth="1"/>
    <col min="10000" max="10000" width="15.75" style="120" bestFit="1" customWidth="1"/>
    <col min="10001" max="10002" width="9.25" style="120" customWidth="1"/>
    <col min="10003" max="10240" width="8.875" style="120"/>
    <col min="10241" max="10241" width="6.75" style="120" customWidth="1"/>
    <col min="10242" max="10242" width="30.875" style="120" bestFit="1" customWidth="1"/>
    <col min="10243" max="10243" width="17.375" style="120" bestFit="1" customWidth="1"/>
    <col min="10244" max="10244" width="13.375" style="120" bestFit="1" customWidth="1"/>
    <col min="10245" max="10251" width="9.75" style="120" customWidth="1"/>
    <col min="10252" max="10252" width="11.875" style="120" bestFit="1" customWidth="1"/>
    <col min="10253" max="10253" width="9.75" style="120" customWidth="1"/>
    <col min="10254" max="10255" width="11.125" style="120" bestFit="1" customWidth="1"/>
    <col min="10256" max="10256" width="15.75" style="120" bestFit="1" customWidth="1"/>
    <col min="10257" max="10258" width="9.25" style="120" customWidth="1"/>
    <col min="10259" max="10496" width="8.875" style="120"/>
    <col min="10497" max="10497" width="6.75" style="120" customWidth="1"/>
    <col min="10498" max="10498" width="30.875" style="120" bestFit="1" customWidth="1"/>
    <col min="10499" max="10499" width="17.375" style="120" bestFit="1" customWidth="1"/>
    <col min="10500" max="10500" width="13.375" style="120" bestFit="1" customWidth="1"/>
    <col min="10501" max="10507" width="9.75" style="120" customWidth="1"/>
    <col min="10508" max="10508" width="11.875" style="120" bestFit="1" customWidth="1"/>
    <col min="10509" max="10509" width="9.75" style="120" customWidth="1"/>
    <col min="10510" max="10511" width="11.125" style="120" bestFit="1" customWidth="1"/>
    <col min="10512" max="10512" width="15.75" style="120" bestFit="1" customWidth="1"/>
    <col min="10513" max="10514" width="9.25" style="120" customWidth="1"/>
    <col min="10515" max="10752" width="8.875" style="120"/>
    <col min="10753" max="10753" width="6.75" style="120" customWidth="1"/>
    <col min="10754" max="10754" width="30.875" style="120" bestFit="1" customWidth="1"/>
    <col min="10755" max="10755" width="17.375" style="120" bestFit="1" customWidth="1"/>
    <col min="10756" max="10756" width="13.375" style="120" bestFit="1" customWidth="1"/>
    <col min="10757" max="10763" width="9.75" style="120" customWidth="1"/>
    <col min="10764" max="10764" width="11.875" style="120" bestFit="1" customWidth="1"/>
    <col min="10765" max="10765" width="9.75" style="120" customWidth="1"/>
    <col min="10766" max="10767" width="11.125" style="120" bestFit="1" customWidth="1"/>
    <col min="10768" max="10768" width="15.75" style="120" bestFit="1" customWidth="1"/>
    <col min="10769" max="10770" width="9.25" style="120" customWidth="1"/>
    <col min="10771" max="11008" width="8.875" style="120"/>
    <col min="11009" max="11009" width="6.75" style="120" customWidth="1"/>
    <col min="11010" max="11010" width="30.875" style="120" bestFit="1" customWidth="1"/>
    <col min="11011" max="11011" width="17.375" style="120" bestFit="1" customWidth="1"/>
    <col min="11012" max="11012" width="13.375" style="120" bestFit="1" customWidth="1"/>
    <col min="11013" max="11019" width="9.75" style="120" customWidth="1"/>
    <col min="11020" max="11020" width="11.875" style="120" bestFit="1" customWidth="1"/>
    <col min="11021" max="11021" width="9.75" style="120" customWidth="1"/>
    <col min="11022" max="11023" width="11.125" style="120" bestFit="1" customWidth="1"/>
    <col min="11024" max="11024" width="15.75" style="120" bestFit="1" customWidth="1"/>
    <col min="11025" max="11026" width="9.25" style="120" customWidth="1"/>
    <col min="11027" max="11264" width="8.875" style="120"/>
    <col min="11265" max="11265" width="6.75" style="120" customWidth="1"/>
    <col min="11266" max="11266" width="30.875" style="120" bestFit="1" customWidth="1"/>
    <col min="11267" max="11267" width="17.375" style="120" bestFit="1" customWidth="1"/>
    <col min="11268" max="11268" width="13.375" style="120" bestFit="1" customWidth="1"/>
    <col min="11269" max="11275" width="9.75" style="120" customWidth="1"/>
    <col min="11276" max="11276" width="11.875" style="120" bestFit="1" customWidth="1"/>
    <col min="11277" max="11277" width="9.75" style="120" customWidth="1"/>
    <col min="11278" max="11279" width="11.125" style="120" bestFit="1" customWidth="1"/>
    <col min="11280" max="11280" width="15.75" style="120" bestFit="1" customWidth="1"/>
    <col min="11281" max="11282" width="9.25" style="120" customWidth="1"/>
    <col min="11283" max="11520" width="8.875" style="120"/>
    <col min="11521" max="11521" width="6.75" style="120" customWidth="1"/>
    <col min="11522" max="11522" width="30.875" style="120" bestFit="1" customWidth="1"/>
    <col min="11523" max="11523" width="17.375" style="120" bestFit="1" customWidth="1"/>
    <col min="11524" max="11524" width="13.375" style="120" bestFit="1" customWidth="1"/>
    <col min="11525" max="11531" width="9.75" style="120" customWidth="1"/>
    <col min="11532" max="11532" width="11.875" style="120" bestFit="1" customWidth="1"/>
    <col min="11533" max="11533" width="9.75" style="120" customWidth="1"/>
    <col min="11534" max="11535" width="11.125" style="120" bestFit="1" customWidth="1"/>
    <col min="11536" max="11536" width="15.75" style="120" bestFit="1" customWidth="1"/>
    <col min="11537" max="11538" width="9.25" style="120" customWidth="1"/>
    <col min="11539" max="11776" width="8.875" style="120"/>
    <col min="11777" max="11777" width="6.75" style="120" customWidth="1"/>
    <col min="11778" max="11778" width="30.875" style="120" bestFit="1" customWidth="1"/>
    <col min="11779" max="11779" width="17.375" style="120" bestFit="1" customWidth="1"/>
    <col min="11780" max="11780" width="13.375" style="120" bestFit="1" customWidth="1"/>
    <col min="11781" max="11787" width="9.75" style="120" customWidth="1"/>
    <col min="11788" max="11788" width="11.875" style="120" bestFit="1" customWidth="1"/>
    <col min="11789" max="11789" width="9.75" style="120" customWidth="1"/>
    <col min="11790" max="11791" width="11.125" style="120" bestFit="1" customWidth="1"/>
    <col min="11792" max="11792" width="15.75" style="120" bestFit="1" customWidth="1"/>
    <col min="11793" max="11794" width="9.25" style="120" customWidth="1"/>
    <col min="11795" max="12032" width="8.875" style="120"/>
    <col min="12033" max="12033" width="6.75" style="120" customWidth="1"/>
    <col min="12034" max="12034" width="30.875" style="120" bestFit="1" customWidth="1"/>
    <col min="12035" max="12035" width="17.375" style="120" bestFit="1" customWidth="1"/>
    <col min="12036" max="12036" width="13.375" style="120" bestFit="1" customWidth="1"/>
    <col min="12037" max="12043" width="9.75" style="120" customWidth="1"/>
    <col min="12044" max="12044" width="11.875" style="120" bestFit="1" customWidth="1"/>
    <col min="12045" max="12045" width="9.75" style="120" customWidth="1"/>
    <col min="12046" max="12047" width="11.125" style="120" bestFit="1" customWidth="1"/>
    <col min="12048" max="12048" width="15.75" style="120" bestFit="1" customWidth="1"/>
    <col min="12049" max="12050" width="9.25" style="120" customWidth="1"/>
    <col min="12051" max="12288" width="8.875" style="120"/>
    <col min="12289" max="12289" width="6.75" style="120" customWidth="1"/>
    <col min="12290" max="12290" width="30.875" style="120" bestFit="1" customWidth="1"/>
    <col min="12291" max="12291" width="17.375" style="120" bestFit="1" customWidth="1"/>
    <col min="12292" max="12292" width="13.375" style="120" bestFit="1" customWidth="1"/>
    <col min="12293" max="12299" width="9.75" style="120" customWidth="1"/>
    <col min="12300" max="12300" width="11.875" style="120" bestFit="1" customWidth="1"/>
    <col min="12301" max="12301" width="9.75" style="120" customWidth="1"/>
    <col min="12302" max="12303" width="11.125" style="120" bestFit="1" customWidth="1"/>
    <col min="12304" max="12304" width="15.75" style="120" bestFit="1" customWidth="1"/>
    <col min="12305" max="12306" width="9.25" style="120" customWidth="1"/>
    <col min="12307" max="12544" width="8.875" style="120"/>
    <col min="12545" max="12545" width="6.75" style="120" customWidth="1"/>
    <col min="12546" max="12546" width="30.875" style="120" bestFit="1" customWidth="1"/>
    <col min="12547" max="12547" width="17.375" style="120" bestFit="1" customWidth="1"/>
    <col min="12548" max="12548" width="13.375" style="120" bestFit="1" customWidth="1"/>
    <col min="12549" max="12555" width="9.75" style="120" customWidth="1"/>
    <col min="12556" max="12556" width="11.875" style="120" bestFit="1" customWidth="1"/>
    <col min="12557" max="12557" width="9.75" style="120" customWidth="1"/>
    <col min="12558" max="12559" width="11.125" style="120" bestFit="1" customWidth="1"/>
    <col min="12560" max="12560" width="15.75" style="120" bestFit="1" customWidth="1"/>
    <col min="12561" max="12562" width="9.25" style="120" customWidth="1"/>
    <col min="12563" max="12800" width="8.875" style="120"/>
    <col min="12801" max="12801" width="6.75" style="120" customWidth="1"/>
    <col min="12802" max="12802" width="30.875" style="120" bestFit="1" customWidth="1"/>
    <col min="12803" max="12803" width="17.375" style="120" bestFit="1" customWidth="1"/>
    <col min="12804" max="12804" width="13.375" style="120" bestFit="1" customWidth="1"/>
    <col min="12805" max="12811" width="9.75" style="120" customWidth="1"/>
    <col min="12812" max="12812" width="11.875" style="120" bestFit="1" customWidth="1"/>
    <col min="12813" max="12813" width="9.75" style="120" customWidth="1"/>
    <col min="12814" max="12815" width="11.125" style="120" bestFit="1" customWidth="1"/>
    <col min="12816" max="12816" width="15.75" style="120" bestFit="1" customWidth="1"/>
    <col min="12817" max="12818" width="9.25" style="120" customWidth="1"/>
    <col min="12819" max="13056" width="8.875" style="120"/>
    <col min="13057" max="13057" width="6.75" style="120" customWidth="1"/>
    <col min="13058" max="13058" width="30.875" style="120" bestFit="1" customWidth="1"/>
    <col min="13059" max="13059" width="17.375" style="120" bestFit="1" customWidth="1"/>
    <col min="13060" max="13060" width="13.375" style="120" bestFit="1" customWidth="1"/>
    <col min="13061" max="13067" width="9.75" style="120" customWidth="1"/>
    <col min="13068" max="13068" width="11.875" style="120" bestFit="1" customWidth="1"/>
    <col min="13069" max="13069" width="9.75" style="120" customWidth="1"/>
    <col min="13070" max="13071" width="11.125" style="120" bestFit="1" customWidth="1"/>
    <col min="13072" max="13072" width="15.75" style="120" bestFit="1" customWidth="1"/>
    <col min="13073" max="13074" width="9.25" style="120" customWidth="1"/>
    <col min="13075" max="13312" width="8.875" style="120"/>
    <col min="13313" max="13313" width="6.75" style="120" customWidth="1"/>
    <col min="13314" max="13314" width="30.875" style="120" bestFit="1" customWidth="1"/>
    <col min="13315" max="13315" width="17.375" style="120" bestFit="1" customWidth="1"/>
    <col min="13316" max="13316" width="13.375" style="120" bestFit="1" customWidth="1"/>
    <col min="13317" max="13323" width="9.75" style="120" customWidth="1"/>
    <col min="13324" max="13324" width="11.875" style="120" bestFit="1" customWidth="1"/>
    <col min="13325" max="13325" width="9.75" style="120" customWidth="1"/>
    <col min="13326" max="13327" width="11.125" style="120" bestFit="1" customWidth="1"/>
    <col min="13328" max="13328" width="15.75" style="120" bestFit="1" customWidth="1"/>
    <col min="13329" max="13330" width="9.25" style="120" customWidth="1"/>
    <col min="13331" max="13568" width="8.875" style="120"/>
    <col min="13569" max="13569" width="6.75" style="120" customWidth="1"/>
    <col min="13570" max="13570" width="30.875" style="120" bestFit="1" customWidth="1"/>
    <col min="13571" max="13571" width="17.375" style="120" bestFit="1" customWidth="1"/>
    <col min="13572" max="13572" width="13.375" style="120" bestFit="1" customWidth="1"/>
    <col min="13573" max="13579" width="9.75" style="120" customWidth="1"/>
    <col min="13580" max="13580" width="11.875" style="120" bestFit="1" customWidth="1"/>
    <col min="13581" max="13581" width="9.75" style="120" customWidth="1"/>
    <col min="13582" max="13583" width="11.125" style="120" bestFit="1" customWidth="1"/>
    <col min="13584" max="13584" width="15.75" style="120" bestFit="1" customWidth="1"/>
    <col min="13585" max="13586" width="9.25" style="120" customWidth="1"/>
    <col min="13587" max="13824" width="8.875" style="120"/>
    <col min="13825" max="13825" width="6.75" style="120" customWidth="1"/>
    <col min="13826" max="13826" width="30.875" style="120" bestFit="1" customWidth="1"/>
    <col min="13827" max="13827" width="17.375" style="120" bestFit="1" customWidth="1"/>
    <col min="13828" max="13828" width="13.375" style="120" bestFit="1" customWidth="1"/>
    <col min="13829" max="13835" width="9.75" style="120" customWidth="1"/>
    <col min="13836" max="13836" width="11.875" style="120" bestFit="1" customWidth="1"/>
    <col min="13837" max="13837" width="9.75" style="120" customWidth="1"/>
    <col min="13838" max="13839" width="11.125" style="120" bestFit="1" customWidth="1"/>
    <col min="13840" max="13840" width="15.75" style="120" bestFit="1" customWidth="1"/>
    <col min="13841" max="13842" width="9.25" style="120" customWidth="1"/>
    <col min="13843" max="14080" width="8.875" style="120"/>
    <col min="14081" max="14081" width="6.75" style="120" customWidth="1"/>
    <col min="14082" max="14082" width="30.875" style="120" bestFit="1" customWidth="1"/>
    <col min="14083" max="14083" width="17.375" style="120" bestFit="1" customWidth="1"/>
    <col min="14084" max="14084" width="13.375" style="120" bestFit="1" customWidth="1"/>
    <col min="14085" max="14091" width="9.75" style="120" customWidth="1"/>
    <col min="14092" max="14092" width="11.875" style="120" bestFit="1" customWidth="1"/>
    <col min="14093" max="14093" width="9.75" style="120" customWidth="1"/>
    <col min="14094" max="14095" width="11.125" style="120" bestFit="1" customWidth="1"/>
    <col min="14096" max="14096" width="15.75" style="120" bestFit="1" customWidth="1"/>
    <col min="14097" max="14098" width="9.25" style="120" customWidth="1"/>
    <col min="14099" max="14336" width="8.875" style="120"/>
    <col min="14337" max="14337" width="6.75" style="120" customWidth="1"/>
    <col min="14338" max="14338" width="30.875" style="120" bestFit="1" customWidth="1"/>
    <col min="14339" max="14339" width="17.375" style="120" bestFit="1" customWidth="1"/>
    <col min="14340" max="14340" width="13.375" style="120" bestFit="1" customWidth="1"/>
    <col min="14341" max="14347" width="9.75" style="120" customWidth="1"/>
    <col min="14348" max="14348" width="11.875" style="120" bestFit="1" customWidth="1"/>
    <col min="14349" max="14349" width="9.75" style="120" customWidth="1"/>
    <col min="14350" max="14351" width="11.125" style="120" bestFit="1" customWidth="1"/>
    <col min="14352" max="14352" width="15.75" style="120" bestFit="1" customWidth="1"/>
    <col min="14353" max="14354" width="9.25" style="120" customWidth="1"/>
    <col min="14355" max="14592" width="8.875" style="120"/>
    <col min="14593" max="14593" width="6.75" style="120" customWidth="1"/>
    <col min="14594" max="14594" width="30.875" style="120" bestFit="1" customWidth="1"/>
    <col min="14595" max="14595" width="17.375" style="120" bestFit="1" customWidth="1"/>
    <col min="14596" max="14596" width="13.375" style="120" bestFit="1" customWidth="1"/>
    <col min="14597" max="14603" width="9.75" style="120" customWidth="1"/>
    <col min="14604" max="14604" width="11.875" style="120" bestFit="1" customWidth="1"/>
    <col min="14605" max="14605" width="9.75" style="120" customWidth="1"/>
    <col min="14606" max="14607" width="11.125" style="120" bestFit="1" customWidth="1"/>
    <col min="14608" max="14608" width="15.75" style="120" bestFit="1" customWidth="1"/>
    <col min="14609" max="14610" width="9.25" style="120" customWidth="1"/>
    <col min="14611" max="14848" width="8.875" style="120"/>
    <col min="14849" max="14849" width="6.75" style="120" customWidth="1"/>
    <col min="14850" max="14850" width="30.875" style="120" bestFit="1" customWidth="1"/>
    <col min="14851" max="14851" width="17.375" style="120" bestFit="1" customWidth="1"/>
    <col min="14852" max="14852" width="13.375" style="120" bestFit="1" customWidth="1"/>
    <col min="14853" max="14859" width="9.75" style="120" customWidth="1"/>
    <col min="14860" max="14860" width="11.875" style="120" bestFit="1" customWidth="1"/>
    <col min="14861" max="14861" width="9.75" style="120" customWidth="1"/>
    <col min="14862" max="14863" width="11.125" style="120" bestFit="1" customWidth="1"/>
    <col min="14864" max="14864" width="15.75" style="120" bestFit="1" customWidth="1"/>
    <col min="14865" max="14866" width="9.25" style="120" customWidth="1"/>
    <col min="14867" max="15104" width="8.875" style="120"/>
    <col min="15105" max="15105" width="6.75" style="120" customWidth="1"/>
    <col min="15106" max="15106" width="30.875" style="120" bestFit="1" customWidth="1"/>
    <col min="15107" max="15107" width="17.375" style="120" bestFit="1" customWidth="1"/>
    <col min="15108" max="15108" width="13.375" style="120" bestFit="1" customWidth="1"/>
    <col min="15109" max="15115" width="9.75" style="120" customWidth="1"/>
    <col min="15116" max="15116" width="11.875" style="120" bestFit="1" customWidth="1"/>
    <col min="15117" max="15117" width="9.75" style="120" customWidth="1"/>
    <col min="15118" max="15119" width="11.125" style="120" bestFit="1" customWidth="1"/>
    <col min="15120" max="15120" width="15.75" style="120" bestFit="1" customWidth="1"/>
    <col min="15121" max="15122" width="9.25" style="120" customWidth="1"/>
    <col min="15123" max="15360" width="8.875" style="120"/>
    <col min="15361" max="15361" width="6.75" style="120" customWidth="1"/>
    <col min="15362" max="15362" width="30.875" style="120" bestFit="1" customWidth="1"/>
    <col min="15363" max="15363" width="17.375" style="120" bestFit="1" customWidth="1"/>
    <col min="15364" max="15364" width="13.375" style="120" bestFit="1" customWidth="1"/>
    <col min="15365" max="15371" width="9.75" style="120" customWidth="1"/>
    <col min="15372" max="15372" width="11.875" style="120" bestFit="1" customWidth="1"/>
    <col min="15373" max="15373" width="9.75" style="120" customWidth="1"/>
    <col min="15374" max="15375" width="11.125" style="120" bestFit="1" customWidth="1"/>
    <col min="15376" max="15376" width="15.75" style="120" bestFit="1" customWidth="1"/>
    <col min="15377" max="15378" width="9.25" style="120" customWidth="1"/>
    <col min="15379" max="15616" width="8.875" style="120"/>
    <col min="15617" max="15617" width="6.75" style="120" customWidth="1"/>
    <col min="15618" max="15618" width="30.875" style="120" bestFit="1" customWidth="1"/>
    <col min="15619" max="15619" width="17.375" style="120" bestFit="1" customWidth="1"/>
    <col min="15620" max="15620" width="13.375" style="120" bestFit="1" customWidth="1"/>
    <col min="15621" max="15627" width="9.75" style="120" customWidth="1"/>
    <col min="15628" max="15628" width="11.875" style="120" bestFit="1" customWidth="1"/>
    <col min="15629" max="15629" width="9.75" style="120" customWidth="1"/>
    <col min="15630" max="15631" width="11.125" style="120" bestFit="1" customWidth="1"/>
    <col min="15632" max="15632" width="15.75" style="120" bestFit="1" customWidth="1"/>
    <col min="15633" max="15634" width="9.25" style="120" customWidth="1"/>
    <col min="15635" max="15872" width="8.875" style="120"/>
    <col min="15873" max="15873" width="6.75" style="120" customWidth="1"/>
    <col min="15874" max="15874" width="30.875" style="120" bestFit="1" customWidth="1"/>
    <col min="15875" max="15875" width="17.375" style="120" bestFit="1" customWidth="1"/>
    <col min="15876" max="15876" width="13.375" style="120" bestFit="1" customWidth="1"/>
    <col min="15877" max="15883" width="9.75" style="120" customWidth="1"/>
    <col min="15884" max="15884" width="11.875" style="120" bestFit="1" customWidth="1"/>
    <col min="15885" max="15885" width="9.75" style="120" customWidth="1"/>
    <col min="15886" max="15887" width="11.125" style="120" bestFit="1" customWidth="1"/>
    <col min="15888" max="15888" width="15.75" style="120" bestFit="1" customWidth="1"/>
    <col min="15889" max="15890" width="9.25" style="120" customWidth="1"/>
    <col min="15891" max="16128" width="8.875" style="120"/>
    <col min="16129" max="16129" width="6.75" style="120" customWidth="1"/>
    <col min="16130" max="16130" width="30.875" style="120" bestFit="1" customWidth="1"/>
    <col min="16131" max="16131" width="17.375" style="120" bestFit="1" customWidth="1"/>
    <col min="16132" max="16132" width="13.375" style="120" bestFit="1" customWidth="1"/>
    <col min="16133" max="16139" width="9.75" style="120" customWidth="1"/>
    <col min="16140" max="16140" width="11.875" style="120" bestFit="1" customWidth="1"/>
    <col min="16141" max="16141" width="9.75" style="120" customWidth="1"/>
    <col min="16142" max="16143" width="11.125" style="120" bestFit="1" customWidth="1"/>
    <col min="16144" max="16144" width="15.75" style="120" bestFit="1" customWidth="1"/>
    <col min="16145" max="16146" width="9.25" style="120" customWidth="1"/>
    <col min="16147" max="16384" width="8.875" style="120"/>
  </cols>
  <sheetData>
    <row r="1" spans="2:5" x14ac:dyDescent="0.35">
      <c r="B1" s="118"/>
      <c r="C1" s="118"/>
      <c r="D1" s="118"/>
      <c r="E1" s="118"/>
    </row>
    <row r="2" spans="2:5" x14ac:dyDescent="0.35">
      <c r="B2" s="290" t="s">
        <v>114</v>
      </c>
      <c r="C2" s="291"/>
      <c r="D2" s="118"/>
      <c r="E2" s="292"/>
    </row>
    <row r="3" spans="2:5" x14ac:dyDescent="0.35">
      <c r="B3" s="291"/>
      <c r="C3" s="291"/>
      <c r="D3" s="118"/>
      <c r="E3" s="118"/>
    </row>
    <row r="4" spans="2:5" x14ac:dyDescent="0.35">
      <c r="B4" s="293" t="s">
        <v>7</v>
      </c>
      <c r="C4" s="293" t="s">
        <v>8</v>
      </c>
      <c r="D4" s="118"/>
      <c r="E4" s="118"/>
    </row>
    <row r="5" spans="2:5" x14ac:dyDescent="0.35">
      <c r="B5" s="294" t="str">
        <f>IF(ISBLANK(Directions!C6), "Owner", Directions!C6)</f>
        <v>Owner</v>
      </c>
      <c r="C5" s="294" t="str">
        <f>IF(ISBLANK(Directions!D6), "Company 1", Directions!D6)</f>
        <v>Company 1</v>
      </c>
      <c r="D5" s="118"/>
      <c r="E5" s="118"/>
    </row>
    <row r="6" spans="2:5" x14ac:dyDescent="0.35">
      <c r="B6" s="295"/>
      <c r="C6" s="118"/>
      <c r="D6" s="118"/>
      <c r="E6" s="118"/>
    </row>
    <row r="7" spans="2:5" ht="16.5" thickBot="1" x14ac:dyDescent="0.4">
      <c r="B7" s="296" t="s">
        <v>115</v>
      </c>
      <c r="C7" s="296"/>
      <c r="D7" s="296"/>
      <c r="E7" s="296"/>
    </row>
    <row r="8" spans="2:5" ht="16.5" thickTop="1" x14ac:dyDescent="0.35">
      <c r="B8" s="297" t="s">
        <v>116</v>
      </c>
      <c r="C8" s="298" t="s">
        <v>117</v>
      </c>
      <c r="D8" s="298" t="s">
        <v>118</v>
      </c>
      <c r="E8" s="298" t="s">
        <v>119</v>
      </c>
    </row>
    <row r="9" spans="2:5" x14ac:dyDescent="0.35">
      <c r="B9" s="299" t="s">
        <v>120</v>
      </c>
      <c r="C9" s="300">
        <v>0.3</v>
      </c>
      <c r="D9" s="300">
        <v>0.3</v>
      </c>
      <c r="E9" s="300">
        <v>0.3</v>
      </c>
    </row>
    <row r="10" spans="2:5" x14ac:dyDescent="0.35">
      <c r="B10" s="299" t="s">
        <v>121</v>
      </c>
      <c r="C10" s="300">
        <v>0.3</v>
      </c>
      <c r="D10" s="300">
        <v>0.3</v>
      </c>
      <c r="E10" s="300">
        <v>0.3</v>
      </c>
    </row>
    <row r="11" spans="2:5" x14ac:dyDescent="0.35">
      <c r="B11" s="299" t="s">
        <v>122</v>
      </c>
      <c r="C11" s="300">
        <v>0.4</v>
      </c>
      <c r="D11" s="300">
        <v>0.4</v>
      </c>
      <c r="E11" s="300">
        <v>0.4</v>
      </c>
    </row>
    <row r="12" spans="2:5" x14ac:dyDescent="0.35">
      <c r="B12" s="299" t="s">
        <v>123</v>
      </c>
      <c r="C12" s="301">
        <f>1-SUM(C9:C11)</f>
        <v>0</v>
      </c>
      <c r="D12" s="301">
        <f>1-SUM(D9:D11)</f>
        <v>0</v>
      </c>
      <c r="E12" s="301">
        <f>1-SUM(E9:E11)</f>
        <v>0</v>
      </c>
    </row>
    <row r="13" spans="2:5" x14ac:dyDescent="0.35">
      <c r="B13" s="302" t="s">
        <v>124</v>
      </c>
      <c r="C13" s="303">
        <f>SUM(C9:C12)</f>
        <v>1</v>
      </c>
      <c r="D13" s="303">
        <f>SUM(D9:D12)</f>
        <v>1</v>
      </c>
      <c r="E13" s="303">
        <f>SUM(E9:E12)</f>
        <v>1</v>
      </c>
    </row>
    <row r="15" spans="2:5" ht="16.5" thickBot="1" x14ac:dyDescent="0.4">
      <c r="B15" s="296" t="s">
        <v>125</v>
      </c>
      <c r="C15" s="296"/>
      <c r="D15" s="296"/>
      <c r="E15" s="296"/>
    </row>
    <row r="16" spans="2:5" ht="16.5" thickTop="1" x14ac:dyDescent="0.35">
      <c r="B16" s="297" t="s">
        <v>126</v>
      </c>
      <c r="C16" s="298" t="s">
        <v>117</v>
      </c>
      <c r="D16" s="298" t="s">
        <v>118</v>
      </c>
      <c r="E16" s="298" t="s">
        <v>119</v>
      </c>
    </row>
    <row r="17" spans="2:18" x14ac:dyDescent="0.35">
      <c r="B17" s="304" t="s">
        <v>120</v>
      </c>
      <c r="C17" s="300">
        <v>0</v>
      </c>
      <c r="D17" s="300">
        <v>0</v>
      </c>
      <c r="E17" s="300">
        <v>0</v>
      </c>
    </row>
    <row r="18" spans="2:18" x14ac:dyDescent="0.35">
      <c r="B18" s="304" t="s">
        <v>121</v>
      </c>
      <c r="C18" s="300">
        <v>1</v>
      </c>
      <c r="D18" s="300">
        <v>1</v>
      </c>
      <c r="E18" s="300">
        <v>1</v>
      </c>
    </row>
    <row r="19" spans="2:18" x14ac:dyDescent="0.35">
      <c r="B19" s="305" t="s">
        <v>122</v>
      </c>
      <c r="C19" s="300">
        <v>0</v>
      </c>
      <c r="D19" s="300">
        <v>0</v>
      </c>
      <c r="E19" s="300">
        <v>0</v>
      </c>
    </row>
    <row r="20" spans="2:18" x14ac:dyDescent="0.35">
      <c r="B20" s="302" t="s">
        <v>124</v>
      </c>
      <c r="C20" s="306">
        <f>SUM(C17:C19)</f>
        <v>1</v>
      </c>
      <c r="D20" s="306">
        <f>SUM(D17:D19)</f>
        <v>1</v>
      </c>
      <c r="E20" s="306">
        <f>SUM(E17:E19)</f>
        <v>1</v>
      </c>
    </row>
    <row r="21" spans="2:18" s="118" customFormat="1" x14ac:dyDescent="0.35"/>
    <row r="22" spans="2:18" s="118" customFormat="1" x14ac:dyDescent="0.35"/>
    <row r="23" spans="2:18" s="118" customFormat="1" ht="16.5" thickBot="1" x14ac:dyDescent="0.4">
      <c r="B23" s="296" t="s">
        <v>127</v>
      </c>
      <c r="C23" s="296"/>
      <c r="D23" s="296"/>
    </row>
    <row r="24" spans="2:18" s="118" customFormat="1" ht="16.5" thickTop="1" x14ac:dyDescent="0.35">
      <c r="B24" s="307" t="s">
        <v>128</v>
      </c>
      <c r="C24" s="308"/>
      <c r="D24" s="309">
        <v>0</v>
      </c>
    </row>
    <row r="25" spans="2:18" s="118" customFormat="1" x14ac:dyDescent="0.35">
      <c r="B25" s="310" t="s">
        <v>129</v>
      </c>
      <c r="C25" s="311"/>
      <c r="D25" s="312">
        <v>0.08</v>
      </c>
    </row>
    <row r="26" spans="2:18" s="118" customFormat="1" x14ac:dyDescent="0.35"/>
    <row r="27" spans="2:18" s="118" customFormat="1" ht="16.5" thickBot="1" x14ac:dyDescent="0.4">
      <c r="B27" s="296" t="s">
        <v>130</v>
      </c>
      <c r="C27" s="296"/>
      <c r="D27" s="296"/>
      <c r="E27" s="296"/>
      <c r="F27" s="296"/>
      <c r="G27" s="296"/>
      <c r="H27" s="296"/>
      <c r="I27" s="296"/>
      <c r="J27" s="296"/>
      <c r="K27" s="296"/>
      <c r="L27" s="296"/>
      <c r="M27" s="296"/>
      <c r="N27" s="296"/>
      <c r="O27" s="296"/>
      <c r="P27" s="296"/>
      <c r="Q27" s="296"/>
      <c r="R27" s="296"/>
    </row>
    <row r="28" spans="2:18" s="118" customFormat="1" ht="32.25" thickTop="1" x14ac:dyDescent="0.35">
      <c r="B28" s="313" t="s">
        <v>9</v>
      </c>
      <c r="C28" s="314" t="s">
        <v>11</v>
      </c>
      <c r="D28" s="212" t="str">
        <f>'2a-PayrollYear1'!F7</f>
        <v>Month 1</v>
      </c>
      <c r="E28" s="212" t="str">
        <f>'2a-PayrollYear1'!G7</f>
        <v>Month 2</v>
      </c>
      <c r="F28" s="212" t="str">
        <f>'2a-PayrollYear1'!H7</f>
        <v>Month 3</v>
      </c>
      <c r="G28" s="212" t="str">
        <f>'2a-PayrollYear1'!I7</f>
        <v>Month 4</v>
      </c>
      <c r="H28" s="212" t="str">
        <f>'2a-PayrollYear1'!J7</f>
        <v>Month 5</v>
      </c>
      <c r="I28" s="212" t="str">
        <f>'2a-PayrollYear1'!K7</f>
        <v>Month 6</v>
      </c>
      <c r="J28" s="212" t="str">
        <f>'2a-PayrollYear1'!L7</f>
        <v>Month 7</v>
      </c>
      <c r="K28" s="212" t="str">
        <f>'2a-PayrollYear1'!M7</f>
        <v>Month 8</v>
      </c>
      <c r="L28" s="212" t="str">
        <f>'2a-PayrollYear1'!N7</f>
        <v>Month 9</v>
      </c>
      <c r="M28" s="212" t="str">
        <f>'2a-PayrollYear1'!O7</f>
        <v>Month 10</v>
      </c>
      <c r="N28" s="212" t="str">
        <f>'2a-PayrollYear1'!P7</f>
        <v>Month 11</v>
      </c>
      <c r="O28" s="212" t="str">
        <f>'2a-PayrollYear1'!Q7</f>
        <v>Month 12</v>
      </c>
      <c r="P28" s="315" t="s">
        <v>90</v>
      </c>
      <c r="Q28" s="212" t="s">
        <v>131</v>
      </c>
      <c r="R28" s="212" t="s">
        <v>132</v>
      </c>
    </row>
    <row r="29" spans="2:18" s="118" customFormat="1" x14ac:dyDescent="0.35">
      <c r="B29" s="316" t="s">
        <v>133</v>
      </c>
      <c r="C29" s="317">
        <v>20</v>
      </c>
      <c r="D29" s="318">
        <f>Buildings</f>
        <v>0</v>
      </c>
      <c r="E29" s="319"/>
      <c r="F29" s="320"/>
      <c r="G29" s="320"/>
      <c r="H29" s="320"/>
      <c r="I29" s="320"/>
      <c r="J29" s="320"/>
      <c r="K29" s="320"/>
      <c r="L29" s="320"/>
      <c r="M29" s="320"/>
      <c r="N29" s="320"/>
      <c r="O29" s="320"/>
      <c r="P29" s="321">
        <f t="shared" ref="P29:P34" si="0">SUM(D29:O29)</f>
        <v>0</v>
      </c>
      <c r="Q29" s="322"/>
      <c r="R29" s="322"/>
    </row>
    <row r="30" spans="2:18" s="118" customFormat="1" x14ac:dyDescent="0.35">
      <c r="B30" s="316" t="s">
        <v>16</v>
      </c>
      <c r="C30" s="317">
        <v>7</v>
      </c>
      <c r="D30" s="318">
        <f>LeaseImprovements</f>
        <v>0</v>
      </c>
      <c r="E30" s="319"/>
      <c r="F30" s="320"/>
      <c r="G30" s="320"/>
      <c r="H30" s="320"/>
      <c r="I30" s="320"/>
      <c r="J30" s="320"/>
      <c r="K30" s="320"/>
      <c r="L30" s="320"/>
      <c r="M30" s="320"/>
      <c r="N30" s="320"/>
      <c r="O30" s="320"/>
      <c r="P30" s="321">
        <f t="shared" si="0"/>
        <v>0</v>
      </c>
      <c r="Q30" s="322"/>
      <c r="R30" s="322"/>
    </row>
    <row r="31" spans="2:18" s="118" customFormat="1" x14ac:dyDescent="0.35">
      <c r="B31" s="316" t="s">
        <v>17</v>
      </c>
      <c r="C31" s="317">
        <v>7</v>
      </c>
      <c r="D31" s="318">
        <f>Equipment</f>
        <v>0</v>
      </c>
      <c r="E31" s="319"/>
      <c r="F31" s="320"/>
      <c r="G31" s="320"/>
      <c r="H31" s="320"/>
      <c r="I31" s="320"/>
      <c r="J31" s="320"/>
      <c r="K31" s="320"/>
      <c r="L31" s="320"/>
      <c r="M31" s="320"/>
      <c r="N31" s="320"/>
      <c r="O31" s="320"/>
      <c r="P31" s="321">
        <f t="shared" si="0"/>
        <v>0</v>
      </c>
      <c r="Q31" s="322"/>
      <c r="R31" s="322"/>
    </row>
    <row r="32" spans="2:18" s="118" customFormat="1" x14ac:dyDescent="0.35">
      <c r="B32" s="316" t="s">
        <v>18</v>
      </c>
      <c r="C32" s="317">
        <v>5</v>
      </c>
      <c r="D32" s="318">
        <f>Furniture</f>
        <v>0</v>
      </c>
      <c r="E32" s="319"/>
      <c r="F32" s="320"/>
      <c r="G32" s="320"/>
      <c r="H32" s="320"/>
      <c r="I32" s="320"/>
      <c r="J32" s="320"/>
      <c r="K32" s="320"/>
      <c r="L32" s="320"/>
      <c r="M32" s="320"/>
      <c r="N32" s="320"/>
      <c r="O32" s="320"/>
      <c r="P32" s="321">
        <f t="shared" si="0"/>
        <v>0</v>
      </c>
      <c r="Q32" s="322"/>
      <c r="R32" s="322"/>
    </row>
    <row r="33" spans="2:18" s="118" customFormat="1" x14ac:dyDescent="0.35">
      <c r="B33" s="316" t="s">
        <v>19</v>
      </c>
      <c r="C33" s="317">
        <v>5</v>
      </c>
      <c r="D33" s="318">
        <f>Vehicles</f>
        <v>0</v>
      </c>
      <c r="E33" s="319"/>
      <c r="F33" s="320"/>
      <c r="G33" s="320"/>
      <c r="H33" s="320"/>
      <c r="I33" s="320"/>
      <c r="J33" s="320"/>
      <c r="K33" s="320"/>
      <c r="L33" s="320"/>
      <c r="M33" s="320"/>
      <c r="N33" s="320"/>
      <c r="O33" s="320"/>
      <c r="P33" s="321">
        <f t="shared" si="0"/>
        <v>0</v>
      </c>
      <c r="Q33" s="322"/>
      <c r="R33" s="322"/>
    </row>
    <row r="34" spans="2:18" s="118" customFormat="1" x14ac:dyDescent="0.35">
      <c r="B34" s="316" t="s">
        <v>134</v>
      </c>
      <c r="C34" s="323">
        <v>5</v>
      </c>
      <c r="D34" s="324">
        <f>OtherFixedAssets</f>
        <v>0</v>
      </c>
      <c r="E34" s="325"/>
      <c r="F34" s="326"/>
      <c r="G34" s="320"/>
      <c r="H34" s="320"/>
      <c r="I34" s="320"/>
      <c r="J34" s="320"/>
      <c r="K34" s="320"/>
      <c r="L34" s="320"/>
      <c r="M34" s="320"/>
      <c r="N34" s="320"/>
      <c r="O34" s="320"/>
      <c r="P34" s="321">
        <f t="shared" si="0"/>
        <v>0</v>
      </c>
      <c r="Q34" s="327">
        <v>0</v>
      </c>
      <c r="R34" s="327">
        <v>0</v>
      </c>
    </row>
    <row r="35" spans="2:18" s="118" customFormat="1" x14ac:dyDescent="0.35">
      <c r="B35" s="328" t="s">
        <v>135</v>
      </c>
      <c r="C35" s="329"/>
      <c r="D35" s="189">
        <f>SUM(D29:D34)</f>
        <v>0</v>
      </c>
      <c r="E35" s="189">
        <f t="shared" ref="E35:R35" si="1">SUM(E29:E34)</f>
        <v>0</v>
      </c>
      <c r="F35" s="189">
        <f t="shared" si="1"/>
        <v>0</v>
      </c>
      <c r="G35" s="189">
        <f t="shared" si="1"/>
        <v>0</v>
      </c>
      <c r="H35" s="189">
        <f t="shared" si="1"/>
        <v>0</v>
      </c>
      <c r="I35" s="189">
        <f t="shared" si="1"/>
        <v>0</v>
      </c>
      <c r="J35" s="189">
        <f t="shared" si="1"/>
        <v>0</v>
      </c>
      <c r="K35" s="189">
        <f t="shared" si="1"/>
        <v>0</v>
      </c>
      <c r="L35" s="189">
        <f t="shared" si="1"/>
        <v>0</v>
      </c>
      <c r="M35" s="189">
        <f t="shared" si="1"/>
        <v>0</v>
      </c>
      <c r="N35" s="189">
        <f t="shared" si="1"/>
        <v>0</v>
      </c>
      <c r="O35" s="189">
        <f t="shared" si="1"/>
        <v>0</v>
      </c>
      <c r="P35" s="189">
        <f t="shared" si="1"/>
        <v>0</v>
      </c>
      <c r="Q35" s="189">
        <f t="shared" si="1"/>
        <v>0</v>
      </c>
      <c r="R35" s="189">
        <f t="shared" si="1"/>
        <v>0</v>
      </c>
    </row>
    <row r="36" spans="2:18" s="118" customFormat="1" x14ac:dyDescent="0.35"/>
    <row r="37" spans="2:18" s="118" customFormat="1" x14ac:dyDescent="0.35"/>
    <row r="38" spans="2:18" s="118" customFormat="1" ht="16.5" thickBot="1" x14ac:dyDescent="0.4">
      <c r="B38" s="296" t="s">
        <v>136</v>
      </c>
      <c r="C38" s="296"/>
      <c r="D38" s="330"/>
      <c r="E38" s="330"/>
      <c r="F38" s="331"/>
      <c r="G38" s="332"/>
      <c r="H38" s="333"/>
    </row>
    <row r="39" spans="2:18" s="118" customFormat="1" ht="16.5" thickTop="1" x14ac:dyDescent="0.35">
      <c r="B39" s="131" t="s">
        <v>137</v>
      </c>
      <c r="C39" s="334">
        <v>0.2</v>
      </c>
      <c r="D39" s="330"/>
      <c r="E39" s="330"/>
      <c r="F39" s="331"/>
      <c r="G39" s="335"/>
    </row>
    <row r="40" spans="2:18" s="118" customFormat="1" x14ac:dyDescent="0.35">
      <c r="B40" s="131" t="s">
        <v>138</v>
      </c>
      <c r="C40" s="334">
        <v>0.2</v>
      </c>
      <c r="D40" s="330"/>
      <c r="E40" s="330"/>
      <c r="F40" s="331"/>
      <c r="G40" s="335"/>
    </row>
    <row r="41" spans="2:18" s="118" customFormat="1" x14ac:dyDescent="0.35">
      <c r="B41" s="131" t="s">
        <v>139</v>
      </c>
      <c r="C41" s="334">
        <v>0.2</v>
      </c>
    </row>
    <row r="42" spans="2:18" s="118" customFormat="1" x14ac:dyDescent="0.35"/>
    <row r="43" spans="2:18" s="118" customFormat="1" ht="16.5" thickBot="1" x14ac:dyDescent="0.4">
      <c r="B43" s="296" t="s">
        <v>140</v>
      </c>
      <c r="C43" s="296"/>
    </row>
    <row r="44" spans="2:18" s="118" customFormat="1" ht="16.5" thickTop="1" x14ac:dyDescent="0.35">
      <c r="B44" s="336" t="s">
        <v>141</v>
      </c>
      <c r="C44" s="337">
        <v>3</v>
      </c>
    </row>
    <row r="45" spans="2:18" s="118" customFormat="1" x14ac:dyDescent="0.35">
      <c r="D45" s="120"/>
      <c r="E45" s="120"/>
    </row>
  </sheetData>
  <sheetProtection formatColumns="0" formatRows="0"/>
  <mergeCells count="8">
    <mergeCell ref="B38:C38"/>
    <mergeCell ref="B43:C43"/>
    <mergeCell ref="B7:E7"/>
    <mergeCell ref="B15:E15"/>
    <mergeCell ref="B23:D23"/>
    <mergeCell ref="B24:C24"/>
    <mergeCell ref="B25:C25"/>
    <mergeCell ref="B27:R27"/>
  </mergeCells>
  <conditionalFormatting sqref="D29:O34 Q29:R34">
    <cfRule type="containsBlanks" dxfId="52" priority="1">
      <formula>LEN(TRIM(D29))=0</formula>
    </cfRule>
  </conditionalFormatting>
  <printOptions horizontalCentered="1"/>
  <pageMargins left="0.7" right="0.7" top="0.75" bottom="0.75" header="0.3" footer="0.3"/>
  <pageSetup scale="58" orientation="landscape" r:id="rId1"/>
  <headerFooter scaleWithDoc="0">
    <oddHeader>&amp;C&amp;"Gill Sans MT,Regular"&amp;12Additional Inputs</oddHeader>
    <oddFooter>&amp;L&amp;"Gill Sans MT,Regular"&amp;12&amp;F&amp;C&amp;"Gill Sans MT,Regular"&amp;12&amp;A&amp;R&amp;"Gill Sans MT,Regular"&amp;12&amp;D &amp;T</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38"/>
  <sheetViews>
    <sheetView topLeftCell="A28" zoomScaleNormal="100" zoomScalePageLayoutView="60" workbookViewId="0">
      <selection activeCell="J32" sqref="J32"/>
    </sheetView>
  </sheetViews>
  <sheetFormatPr defaultColWidth="8.875" defaultRowHeight="15.75" x14ac:dyDescent="0.35"/>
  <cols>
    <col min="1" max="1" width="8.875" style="118"/>
    <col min="2" max="2" width="46.75" style="120" bestFit="1" customWidth="1"/>
    <col min="3" max="13" width="9.75" style="120" customWidth="1"/>
    <col min="14" max="14" width="11.25" style="120" bestFit="1" customWidth="1"/>
    <col min="15" max="15" width="15.25" style="120" bestFit="1" customWidth="1"/>
    <col min="16" max="16" width="8.875" style="118"/>
    <col min="17" max="17" width="8.875" style="120"/>
    <col min="18" max="18" width="14.875" style="120" bestFit="1" customWidth="1"/>
    <col min="19" max="257" width="8.875" style="120"/>
    <col min="258" max="258" width="46.75" style="120" bestFit="1" customWidth="1"/>
    <col min="259" max="269" width="9.75" style="120" customWidth="1"/>
    <col min="270" max="270" width="11.25" style="120" bestFit="1" customWidth="1"/>
    <col min="271" max="271" width="15.25" style="120" bestFit="1" customWidth="1"/>
    <col min="272" max="273" width="8.875" style="120"/>
    <col min="274" max="274" width="14.875" style="120" bestFit="1" customWidth="1"/>
    <col min="275" max="513" width="8.875" style="120"/>
    <col min="514" max="514" width="46.75" style="120" bestFit="1" customWidth="1"/>
    <col min="515" max="525" width="9.75" style="120" customWidth="1"/>
    <col min="526" max="526" width="11.25" style="120" bestFit="1" customWidth="1"/>
    <col min="527" max="527" width="15.25" style="120" bestFit="1" customWidth="1"/>
    <col min="528" max="529" width="8.875" style="120"/>
    <col min="530" max="530" width="14.875" style="120" bestFit="1" customWidth="1"/>
    <col min="531" max="769" width="8.875" style="120"/>
    <col min="770" max="770" width="46.75" style="120" bestFit="1" customWidth="1"/>
    <col min="771" max="781" width="9.75" style="120" customWidth="1"/>
    <col min="782" max="782" width="11.25" style="120" bestFit="1" customWidth="1"/>
    <col min="783" max="783" width="15.25" style="120" bestFit="1" customWidth="1"/>
    <col min="784" max="785" width="8.875" style="120"/>
    <col min="786" max="786" width="14.875" style="120" bestFit="1" customWidth="1"/>
    <col min="787" max="1025" width="8.875" style="120"/>
    <col min="1026" max="1026" width="46.75" style="120" bestFit="1" customWidth="1"/>
    <col min="1027" max="1037" width="9.75" style="120" customWidth="1"/>
    <col min="1038" max="1038" width="11.25" style="120" bestFit="1" customWidth="1"/>
    <col min="1039" max="1039" width="15.25" style="120" bestFit="1" customWidth="1"/>
    <col min="1040" max="1041" width="8.875" style="120"/>
    <col min="1042" max="1042" width="14.875" style="120" bestFit="1" customWidth="1"/>
    <col min="1043" max="1281" width="8.875" style="120"/>
    <col min="1282" max="1282" width="46.75" style="120" bestFit="1" customWidth="1"/>
    <col min="1283" max="1293" width="9.75" style="120" customWidth="1"/>
    <col min="1294" max="1294" width="11.25" style="120" bestFit="1" customWidth="1"/>
    <col min="1295" max="1295" width="15.25" style="120" bestFit="1" customWidth="1"/>
    <col min="1296" max="1297" width="8.875" style="120"/>
    <col min="1298" max="1298" width="14.875" style="120" bestFit="1" customWidth="1"/>
    <col min="1299" max="1537" width="8.875" style="120"/>
    <col min="1538" max="1538" width="46.75" style="120" bestFit="1" customWidth="1"/>
    <col min="1539" max="1549" width="9.75" style="120" customWidth="1"/>
    <col min="1550" max="1550" width="11.25" style="120" bestFit="1" customWidth="1"/>
    <col min="1551" max="1551" width="15.25" style="120" bestFit="1" customWidth="1"/>
    <col min="1552" max="1553" width="8.875" style="120"/>
    <col min="1554" max="1554" width="14.875" style="120" bestFit="1" customWidth="1"/>
    <col min="1555" max="1793" width="8.875" style="120"/>
    <col min="1794" max="1794" width="46.75" style="120" bestFit="1" customWidth="1"/>
    <col min="1795" max="1805" width="9.75" style="120" customWidth="1"/>
    <col min="1806" max="1806" width="11.25" style="120" bestFit="1" customWidth="1"/>
    <col min="1807" max="1807" width="15.25" style="120" bestFit="1" customWidth="1"/>
    <col min="1808" max="1809" width="8.875" style="120"/>
    <col min="1810" max="1810" width="14.875" style="120" bestFit="1" customWidth="1"/>
    <col min="1811" max="2049" width="8.875" style="120"/>
    <col min="2050" max="2050" width="46.75" style="120" bestFit="1" customWidth="1"/>
    <col min="2051" max="2061" width="9.75" style="120" customWidth="1"/>
    <col min="2062" max="2062" width="11.25" style="120" bestFit="1" customWidth="1"/>
    <col min="2063" max="2063" width="15.25" style="120" bestFit="1" customWidth="1"/>
    <col min="2064" max="2065" width="8.875" style="120"/>
    <col min="2066" max="2066" width="14.875" style="120" bestFit="1" customWidth="1"/>
    <col min="2067" max="2305" width="8.875" style="120"/>
    <col min="2306" max="2306" width="46.75" style="120" bestFit="1" customWidth="1"/>
    <col min="2307" max="2317" width="9.75" style="120" customWidth="1"/>
    <col min="2318" max="2318" width="11.25" style="120" bestFit="1" customWidth="1"/>
    <col min="2319" max="2319" width="15.25" style="120" bestFit="1" customWidth="1"/>
    <col min="2320" max="2321" width="8.875" style="120"/>
    <col min="2322" max="2322" width="14.875" style="120" bestFit="1" customWidth="1"/>
    <col min="2323" max="2561" width="8.875" style="120"/>
    <col min="2562" max="2562" width="46.75" style="120" bestFit="1" customWidth="1"/>
    <col min="2563" max="2573" width="9.75" style="120" customWidth="1"/>
    <col min="2574" max="2574" width="11.25" style="120" bestFit="1" customWidth="1"/>
    <col min="2575" max="2575" width="15.25" style="120" bestFit="1" customWidth="1"/>
    <col min="2576" max="2577" width="8.875" style="120"/>
    <col min="2578" max="2578" width="14.875" style="120" bestFit="1" customWidth="1"/>
    <col min="2579" max="2817" width="8.875" style="120"/>
    <col min="2818" max="2818" width="46.75" style="120" bestFit="1" customWidth="1"/>
    <col min="2819" max="2829" width="9.75" style="120" customWidth="1"/>
    <col min="2830" max="2830" width="11.25" style="120" bestFit="1" customWidth="1"/>
    <col min="2831" max="2831" width="15.25" style="120" bestFit="1" customWidth="1"/>
    <col min="2832" max="2833" width="8.875" style="120"/>
    <col min="2834" max="2834" width="14.875" style="120" bestFit="1" customWidth="1"/>
    <col min="2835" max="3073" width="8.875" style="120"/>
    <col min="3074" max="3074" width="46.75" style="120" bestFit="1" customWidth="1"/>
    <col min="3075" max="3085" width="9.75" style="120" customWidth="1"/>
    <col min="3086" max="3086" width="11.25" style="120" bestFit="1" customWidth="1"/>
    <col min="3087" max="3087" width="15.25" style="120" bestFit="1" customWidth="1"/>
    <col min="3088" max="3089" width="8.875" style="120"/>
    <col min="3090" max="3090" width="14.875" style="120" bestFit="1" customWidth="1"/>
    <col min="3091" max="3329" width="8.875" style="120"/>
    <col min="3330" max="3330" width="46.75" style="120" bestFit="1" customWidth="1"/>
    <col min="3331" max="3341" width="9.75" style="120" customWidth="1"/>
    <col min="3342" max="3342" width="11.25" style="120" bestFit="1" customWidth="1"/>
    <col min="3343" max="3343" width="15.25" style="120" bestFit="1" customWidth="1"/>
    <col min="3344" max="3345" width="8.875" style="120"/>
    <col min="3346" max="3346" width="14.875" style="120" bestFit="1" customWidth="1"/>
    <col min="3347" max="3585" width="8.875" style="120"/>
    <col min="3586" max="3586" width="46.75" style="120" bestFit="1" customWidth="1"/>
    <col min="3587" max="3597" width="9.75" style="120" customWidth="1"/>
    <col min="3598" max="3598" width="11.25" style="120" bestFit="1" customWidth="1"/>
    <col min="3599" max="3599" width="15.25" style="120" bestFit="1" customWidth="1"/>
    <col min="3600" max="3601" width="8.875" style="120"/>
    <col min="3602" max="3602" width="14.875" style="120" bestFit="1" customWidth="1"/>
    <col min="3603" max="3841" width="8.875" style="120"/>
    <col min="3842" max="3842" width="46.75" style="120" bestFit="1" customWidth="1"/>
    <col min="3843" max="3853" width="9.75" style="120" customWidth="1"/>
    <col min="3854" max="3854" width="11.25" style="120" bestFit="1" customWidth="1"/>
    <col min="3855" max="3855" width="15.25" style="120" bestFit="1" customWidth="1"/>
    <col min="3856" max="3857" width="8.875" style="120"/>
    <col min="3858" max="3858" width="14.875" style="120" bestFit="1" customWidth="1"/>
    <col min="3859" max="4097" width="8.875" style="120"/>
    <col min="4098" max="4098" width="46.75" style="120" bestFit="1" customWidth="1"/>
    <col min="4099" max="4109" width="9.75" style="120" customWidth="1"/>
    <col min="4110" max="4110" width="11.25" style="120" bestFit="1" customWidth="1"/>
    <col min="4111" max="4111" width="15.25" style="120" bestFit="1" customWidth="1"/>
    <col min="4112" max="4113" width="8.875" style="120"/>
    <col min="4114" max="4114" width="14.875" style="120" bestFit="1" customWidth="1"/>
    <col min="4115" max="4353" width="8.875" style="120"/>
    <col min="4354" max="4354" width="46.75" style="120" bestFit="1" customWidth="1"/>
    <col min="4355" max="4365" width="9.75" style="120" customWidth="1"/>
    <col min="4366" max="4366" width="11.25" style="120" bestFit="1" customWidth="1"/>
    <col min="4367" max="4367" width="15.25" style="120" bestFit="1" customWidth="1"/>
    <col min="4368" max="4369" width="8.875" style="120"/>
    <col min="4370" max="4370" width="14.875" style="120" bestFit="1" customWidth="1"/>
    <col min="4371" max="4609" width="8.875" style="120"/>
    <col min="4610" max="4610" width="46.75" style="120" bestFit="1" customWidth="1"/>
    <col min="4611" max="4621" width="9.75" style="120" customWidth="1"/>
    <col min="4622" max="4622" width="11.25" style="120" bestFit="1" customWidth="1"/>
    <col min="4623" max="4623" width="15.25" style="120" bestFit="1" customWidth="1"/>
    <col min="4624" max="4625" width="8.875" style="120"/>
    <col min="4626" max="4626" width="14.875" style="120" bestFit="1" customWidth="1"/>
    <col min="4627" max="4865" width="8.875" style="120"/>
    <col min="4866" max="4866" width="46.75" style="120" bestFit="1" customWidth="1"/>
    <col min="4867" max="4877" width="9.75" style="120" customWidth="1"/>
    <col min="4878" max="4878" width="11.25" style="120" bestFit="1" customWidth="1"/>
    <col min="4879" max="4879" width="15.25" style="120" bestFit="1" customWidth="1"/>
    <col min="4880" max="4881" width="8.875" style="120"/>
    <col min="4882" max="4882" width="14.875" style="120" bestFit="1" customWidth="1"/>
    <col min="4883" max="5121" width="8.875" style="120"/>
    <col min="5122" max="5122" width="46.75" style="120" bestFit="1" customWidth="1"/>
    <col min="5123" max="5133" width="9.75" style="120" customWidth="1"/>
    <col min="5134" max="5134" width="11.25" style="120" bestFit="1" customWidth="1"/>
    <col min="5135" max="5135" width="15.25" style="120" bestFit="1" customWidth="1"/>
    <col min="5136" max="5137" width="8.875" style="120"/>
    <col min="5138" max="5138" width="14.875" style="120" bestFit="1" customWidth="1"/>
    <col min="5139" max="5377" width="8.875" style="120"/>
    <col min="5378" max="5378" width="46.75" style="120" bestFit="1" customWidth="1"/>
    <col min="5379" max="5389" width="9.75" style="120" customWidth="1"/>
    <col min="5390" max="5390" width="11.25" style="120" bestFit="1" customWidth="1"/>
    <col min="5391" max="5391" width="15.25" style="120" bestFit="1" customWidth="1"/>
    <col min="5392" max="5393" width="8.875" style="120"/>
    <col min="5394" max="5394" width="14.875" style="120" bestFit="1" customWidth="1"/>
    <col min="5395" max="5633" width="8.875" style="120"/>
    <col min="5634" max="5634" width="46.75" style="120" bestFit="1" customWidth="1"/>
    <col min="5635" max="5645" width="9.75" style="120" customWidth="1"/>
    <col min="5646" max="5646" width="11.25" style="120" bestFit="1" customWidth="1"/>
    <col min="5647" max="5647" width="15.25" style="120" bestFit="1" customWidth="1"/>
    <col min="5648" max="5649" width="8.875" style="120"/>
    <col min="5650" max="5650" width="14.875" style="120" bestFit="1" customWidth="1"/>
    <col min="5651" max="5889" width="8.875" style="120"/>
    <col min="5890" max="5890" width="46.75" style="120" bestFit="1" customWidth="1"/>
    <col min="5891" max="5901" width="9.75" style="120" customWidth="1"/>
    <col min="5902" max="5902" width="11.25" style="120" bestFit="1" customWidth="1"/>
    <col min="5903" max="5903" width="15.25" style="120" bestFit="1" customWidth="1"/>
    <col min="5904" max="5905" width="8.875" style="120"/>
    <col min="5906" max="5906" width="14.875" style="120" bestFit="1" customWidth="1"/>
    <col min="5907" max="6145" width="8.875" style="120"/>
    <col min="6146" max="6146" width="46.75" style="120" bestFit="1" customWidth="1"/>
    <col min="6147" max="6157" width="9.75" style="120" customWidth="1"/>
    <col min="6158" max="6158" width="11.25" style="120" bestFit="1" customWidth="1"/>
    <col min="6159" max="6159" width="15.25" style="120" bestFit="1" customWidth="1"/>
    <col min="6160" max="6161" width="8.875" style="120"/>
    <col min="6162" max="6162" width="14.875" style="120" bestFit="1" customWidth="1"/>
    <col min="6163" max="6401" width="8.875" style="120"/>
    <col min="6402" max="6402" width="46.75" style="120" bestFit="1" customWidth="1"/>
    <col min="6403" max="6413" width="9.75" style="120" customWidth="1"/>
    <col min="6414" max="6414" width="11.25" style="120" bestFit="1" customWidth="1"/>
    <col min="6415" max="6415" width="15.25" style="120" bestFit="1" customWidth="1"/>
    <col min="6416" max="6417" width="8.875" style="120"/>
    <col min="6418" max="6418" width="14.875" style="120" bestFit="1" customWidth="1"/>
    <col min="6419" max="6657" width="8.875" style="120"/>
    <col min="6658" max="6658" width="46.75" style="120" bestFit="1" customWidth="1"/>
    <col min="6659" max="6669" width="9.75" style="120" customWidth="1"/>
    <col min="6670" max="6670" width="11.25" style="120" bestFit="1" customWidth="1"/>
    <col min="6671" max="6671" width="15.25" style="120" bestFit="1" customWidth="1"/>
    <col min="6672" max="6673" width="8.875" style="120"/>
    <col min="6674" max="6674" width="14.875" style="120" bestFit="1" customWidth="1"/>
    <col min="6675" max="6913" width="8.875" style="120"/>
    <col min="6914" max="6914" width="46.75" style="120" bestFit="1" customWidth="1"/>
    <col min="6915" max="6925" width="9.75" style="120" customWidth="1"/>
    <col min="6926" max="6926" width="11.25" style="120" bestFit="1" customWidth="1"/>
    <col min="6927" max="6927" width="15.25" style="120" bestFit="1" customWidth="1"/>
    <col min="6928" max="6929" width="8.875" style="120"/>
    <col min="6930" max="6930" width="14.875" style="120" bestFit="1" customWidth="1"/>
    <col min="6931" max="7169" width="8.875" style="120"/>
    <col min="7170" max="7170" width="46.75" style="120" bestFit="1" customWidth="1"/>
    <col min="7171" max="7181" width="9.75" style="120" customWidth="1"/>
    <col min="7182" max="7182" width="11.25" style="120" bestFit="1" customWidth="1"/>
    <col min="7183" max="7183" width="15.25" style="120" bestFit="1" customWidth="1"/>
    <col min="7184" max="7185" width="8.875" style="120"/>
    <col min="7186" max="7186" width="14.875" style="120" bestFit="1" customWidth="1"/>
    <col min="7187" max="7425" width="8.875" style="120"/>
    <col min="7426" max="7426" width="46.75" style="120" bestFit="1" customWidth="1"/>
    <col min="7427" max="7437" width="9.75" style="120" customWidth="1"/>
    <col min="7438" max="7438" width="11.25" style="120" bestFit="1" customWidth="1"/>
    <col min="7439" max="7439" width="15.25" style="120" bestFit="1" customWidth="1"/>
    <col min="7440" max="7441" width="8.875" style="120"/>
    <col min="7442" max="7442" width="14.875" style="120" bestFit="1" customWidth="1"/>
    <col min="7443" max="7681" width="8.875" style="120"/>
    <col min="7682" max="7682" width="46.75" style="120" bestFit="1" customWidth="1"/>
    <col min="7683" max="7693" width="9.75" style="120" customWidth="1"/>
    <col min="7694" max="7694" width="11.25" style="120" bestFit="1" customWidth="1"/>
    <col min="7695" max="7695" width="15.25" style="120" bestFit="1" customWidth="1"/>
    <col min="7696" max="7697" width="8.875" style="120"/>
    <col min="7698" max="7698" width="14.875" style="120" bestFit="1" customWidth="1"/>
    <col min="7699" max="7937" width="8.875" style="120"/>
    <col min="7938" max="7938" width="46.75" style="120" bestFit="1" customWidth="1"/>
    <col min="7939" max="7949" width="9.75" style="120" customWidth="1"/>
    <col min="7950" max="7950" width="11.25" style="120" bestFit="1" customWidth="1"/>
    <col min="7951" max="7951" width="15.25" style="120" bestFit="1" customWidth="1"/>
    <col min="7952" max="7953" width="8.875" style="120"/>
    <col min="7954" max="7954" width="14.875" style="120" bestFit="1" customWidth="1"/>
    <col min="7955" max="8193" width="8.875" style="120"/>
    <col min="8194" max="8194" width="46.75" style="120" bestFit="1" customWidth="1"/>
    <col min="8195" max="8205" width="9.75" style="120" customWidth="1"/>
    <col min="8206" max="8206" width="11.25" style="120" bestFit="1" customWidth="1"/>
    <col min="8207" max="8207" width="15.25" style="120" bestFit="1" customWidth="1"/>
    <col min="8208" max="8209" width="8.875" style="120"/>
    <col min="8210" max="8210" width="14.875" style="120" bestFit="1" customWidth="1"/>
    <col min="8211" max="8449" width="8.875" style="120"/>
    <col min="8450" max="8450" width="46.75" style="120" bestFit="1" customWidth="1"/>
    <col min="8451" max="8461" width="9.75" style="120" customWidth="1"/>
    <col min="8462" max="8462" width="11.25" style="120" bestFit="1" customWidth="1"/>
    <col min="8463" max="8463" width="15.25" style="120" bestFit="1" customWidth="1"/>
    <col min="8464" max="8465" width="8.875" style="120"/>
    <col min="8466" max="8466" width="14.875" style="120" bestFit="1" customWidth="1"/>
    <col min="8467" max="8705" width="8.875" style="120"/>
    <col min="8706" max="8706" width="46.75" style="120" bestFit="1" customWidth="1"/>
    <col min="8707" max="8717" width="9.75" style="120" customWidth="1"/>
    <col min="8718" max="8718" width="11.25" style="120" bestFit="1" customWidth="1"/>
    <col min="8719" max="8719" width="15.25" style="120" bestFit="1" customWidth="1"/>
    <col min="8720" max="8721" width="8.875" style="120"/>
    <col min="8722" max="8722" width="14.875" style="120" bestFit="1" customWidth="1"/>
    <col min="8723" max="8961" width="8.875" style="120"/>
    <col min="8962" max="8962" width="46.75" style="120" bestFit="1" customWidth="1"/>
    <col min="8963" max="8973" width="9.75" style="120" customWidth="1"/>
    <col min="8974" max="8974" width="11.25" style="120" bestFit="1" customWidth="1"/>
    <col min="8975" max="8975" width="15.25" style="120" bestFit="1" customWidth="1"/>
    <col min="8976" max="8977" width="8.875" style="120"/>
    <col min="8978" max="8978" width="14.875" style="120" bestFit="1" customWidth="1"/>
    <col min="8979" max="9217" width="8.875" style="120"/>
    <col min="9218" max="9218" width="46.75" style="120" bestFit="1" customWidth="1"/>
    <col min="9219" max="9229" width="9.75" style="120" customWidth="1"/>
    <col min="9230" max="9230" width="11.25" style="120" bestFit="1" customWidth="1"/>
    <col min="9231" max="9231" width="15.25" style="120" bestFit="1" customWidth="1"/>
    <col min="9232" max="9233" width="8.875" style="120"/>
    <col min="9234" max="9234" width="14.875" style="120" bestFit="1" customWidth="1"/>
    <col min="9235" max="9473" width="8.875" style="120"/>
    <col min="9474" max="9474" width="46.75" style="120" bestFit="1" customWidth="1"/>
    <col min="9475" max="9485" width="9.75" style="120" customWidth="1"/>
    <col min="9486" max="9486" width="11.25" style="120" bestFit="1" customWidth="1"/>
    <col min="9487" max="9487" width="15.25" style="120" bestFit="1" customWidth="1"/>
    <col min="9488" max="9489" width="8.875" style="120"/>
    <col min="9490" max="9490" width="14.875" style="120" bestFit="1" customWidth="1"/>
    <col min="9491" max="9729" width="8.875" style="120"/>
    <col min="9730" max="9730" width="46.75" style="120" bestFit="1" customWidth="1"/>
    <col min="9731" max="9741" width="9.75" style="120" customWidth="1"/>
    <col min="9742" max="9742" width="11.25" style="120" bestFit="1" customWidth="1"/>
    <col min="9743" max="9743" width="15.25" style="120" bestFit="1" customWidth="1"/>
    <col min="9744" max="9745" width="8.875" style="120"/>
    <col min="9746" max="9746" width="14.875" style="120" bestFit="1" customWidth="1"/>
    <col min="9747" max="9985" width="8.875" style="120"/>
    <col min="9986" max="9986" width="46.75" style="120" bestFit="1" customWidth="1"/>
    <col min="9987" max="9997" width="9.75" style="120" customWidth="1"/>
    <col min="9998" max="9998" width="11.25" style="120" bestFit="1" customWidth="1"/>
    <col min="9999" max="9999" width="15.25" style="120" bestFit="1" customWidth="1"/>
    <col min="10000" max="10001" width="8.875" style="120"/>
    <col min="10002" max="10002" width="14.875" style="120" bestFit="1" customWidth="1"/>
    <col min="10003" max="10241" width="8.875" style="120"/>
    <col min="10242" max="10242" width="46.75" style="120" bestFit="1" customWidth="1"/>
    <col min="10243" max="10253" width="9.75" style="120" customWidth="1"/>
    <col min="10254" max="10254" width="11.25" style="120" bestFit="1" customWidth="1"/>
    <col min="10255" max="10255" width="15.25" style="120" bestFit="1" customWidth="1"/>
    <col min="10256" max="10257" width="8.875" style="120"/>
    <col min="10258" max="10258" width="14.875" style="120" bestFit="1" customWidth="1"/>
    <col min="10259" max="10497" width="8.875" style="120"/>
    <col min="10498" max="10498" width="46.75" style="120" bestFit="1" customWidth="1"/>
    <col min="10499" max="10509" width="9.75" style="120" customWidth="1"/>
    <col min="10510" max="10510" width="11.25" style="120" bestFit="1" customWidth="1"/>
    <col min="10511" max="10511" width="15.25" style="120" bestFit="1" customWidth="1"/>
    <col min="10512" max="10513" width="8.875" style="120"/>
    <col min="10514" max="10514" width="14.875" style="120" bestFit="1" customWidth="1"/>
    <col min="10515" max="10753" width="8.875" style="120"/>
    <col min="10754" max="10754" width="46.75" style="120" bestFit="1" customWidth="1"/>
    <col min="10755" max="10765" width="9.75" style="120" customWidth="1"/>
    <col min="10766" max="10766" width="11.25" style="120" bestFit="1" customWidth="1"/>
    <col min="10767" max="10767" width="15.25" style="120" bestFit="1" customWidth="1"/>
    <col min="10768" max="10769" width="8.875" style="120"/>
    <col min="10770" max="10770" width="14.875" style="120" bestFit="1" customWidth="1"/>
    <col min="10771" max="11009" width="8.875" style="120"/>
    <col min="11010" max="11010" width="46.75" style="120" bestFit="1" customWidth="1"/>
    <col min="11011" max="11021" width="9.75" style="120" customWidth="1"/>
    <col min="11022" max="11022" width="11.25" style="120" bestFit="1" customWidth="1"/>
    <col min="11023" max="11023" width="15.25" style="120" bestFit="1" customWidth="1"/>
    <col min="11024" max="11025" width="8.875" style="120"/>
    <col min="11026" max="11026" width="14.875" style="120" bestFit="1" customWidth="1"/>
    <col min="11027" max="11265" width="8.875" style="120"/>
    <col min="11266" max="11266" width="46.75" style="120" bestFit="1" customWidth="1"/>
    <col min="11267" max="11277" width="9.75" style="120" customWidth="1"/>
    <col min="11278" max="11278" width="11.25" style="120" bestFit="1" customWidth="1"/>
    <col min="11279" max="11279" width="15.25" style="120" bestFit="1" customWidth="1"/>
    <col min="11280" max="11281" width="8.875" style="120"/>
    <col min="11282" max="11282" width="14.875" style="120" bestFit="1" customWidth="1"/>
    <col min="11283" max="11521" width="8.875" style="120"/>
    <col min="11522" max="11522" width="46.75" style="120" bestFit="1" customWidth="1"/>
    <col min="11523" max="11533" width="9.75" style="120" customWidth="1"/>
    <col min="11534" max="11534" width="11.25" style="120" bestFit="1" customWidth="1"/>
    <col min="11535" max="11535" width="15.25" style="120" bestFit="1" customWidth="1"/>
    <col min="11536" max="11537" width="8.875" style="120"/>
    <col min="11538" max="11538" width="14.875" style="120" bestFit="1" customWidth="1"/>
    <col min="11539" max="11777" width="8.875" style="120"/>
    <col min="11778" max="11778" width="46.75" style="120" bestFit="1" customWidth="1"/>
    <col min="11779" max="11789" width="9.75" style="120" customWidth="1"/>
    <col min="11790" max="11790" width="11.25" style="120" bestFit="1" customWidth="1"/>
    <col min="11791" max="11791" width="15.25" style="120" bestFit="1" customWidth="1"/>
    <col min="11792" max="11793" width="8.875" style="120"/>
    <col min="11794" max="11794" width="14.875" style="120" bestFit="1" customWidth="1"/>
    <col min="11795" max="12033" width="8.875" style="120"/>
    <col min="12034" max="12034" width="46.75" style="120" bestFit="1" customWidth="1"/>
    <col min="12035" max="12045" width="9.75" style="120" customWidth="1"/>
    <col min="12046" max="12046" width="11.25" style="120" bestFit="1" customWidth="1"/>
    <col min="12047" max="12047" width="15.25" style="120" bestFit="1" customWidth="1"/>
    <col min="12048" max="12049" width="8.875" style="120"/>
    <col min="12050" max="12050" width="14.875" style="120" bestFit="1" customWidth="1"/>
    <col min="12051" max="12289" width="8.875" style="120"/>
    <col min="12290" max="12290" width="46.75" style="120" bestFit="1" customWidth="1"/>
    <col min="12291" max="12301" width="9.75" style="120" customWidth="1"/>
    <col min="12302" max="12302" width="11.25" style="120" bestFit="1" customWidth="1"/>
    <col min="12303" max="12303" width="15.25" style="120" bestFit="1" customWidth="1"/>
    <col min="12304" max="12305" width="8.875" style="120"/>
    <col min="12306" max="12306" width="14.875" style="120" bestFit="1" customWidth="1"/>
    <col min="12307" max="12545" width="8.875" style="120"/>
    <col min="12546" max="12546" width="46.75" style="120" bestFit="1" customWidth="1"/>
    <col min="12547" max="12557" width="9.75" style="120" customWidth="1"/>
    <col min="12558" max="12558" width="11.25" style="120" bestFit="1" customWidth="1"/>
    <col min="12559" max="12559" width="15.25" style="120" bestFit="1" customWidth="1"/>
    <col min="12560" max="12561" width="8.875" style="120"/>
    <col min="12562" max="12562" width="14.875" style="120" bestFit="1" customWidth="1"/>
    <col min="12563" max="12801" width="8.875" style="120"/>
    <col min="12802" max="12802" width="46.75" style="120" bestFit="1" customWidth="1"/>
    <col min="12803" max="12813" width="9.75" style="120" customWidth="1"/>
    <col min="12814" max="12814" width="11.25" style="120" bestFit="1" customWidth="1"/>
    <col min="12815" max="12815" width="15.25" style="120" bestFit="1" customWidth="1"/>
    <col min="12816" max="12817" width="8.875" style="120"/>
    <col min="12818" max="12818" width="14.875" style="120" bestFit="1" customWidth="1"/>
    <col min="12819" max="13057" width="8.875" style="120"/>
    <col min="13058" max="13058" width="46.75" style="120" bestFit="1" customWidth="1"/>
    <col min="13059" max="13069" width="9.75" style="120" customWidth="1"/>
    <col min="13070" max="13070" width="11.25" style="120" bestFit="1" customWidth="1"/>
    <col min="13071" max="13071" width="15.25" style="120" bestFit="1" customWidth="1"/>
    <col min="13072" max="13073" width="8.875" style="120"/>
    <col min="13074" max="13074" width="14.875" style="120" bestFit="1" customWidth="1"/>
    <col min="13075" max="13313" width="8.875" style="120"/>
    <col min="13314" max="13314" width="46.75" style="120" bestFit="1" customWidth="1"/>
    <col min="13315" max="13325" width="9.75" style="120" customWidth="1"/>
    <col min="13326" max="13326" width="11.25" style="120" bestFit="1" customWidth="1"/>
    <col min="13327" max="13327" width="15.25" style="120" bestFit="1" customWidth="1"/>
    <col min="13328" max="13329" width="8.875" style="120"/>
    <col min="13330" max="13330" width="14.875" style="120" bestFit="1" customWidth="1"/>
    <col min="13331" max="13569" width="8.875" style="120"/>
    <col min="13570" max="13570" width="46.75" style="120" bestFit="1" customWidth="1"/>
    <col min="13571" max="13581" width="9.75" style="120" customWidth="1"/>
    <col min="13582" max="13582" width="11.25" style="120" bestFit="1" customWidth="1"/>
    <col min="13583" max="13583" width="15.25" style="120" bestFit="1" customWidth="1"/>
    <col min="13584" max="13585" width="8.875" style="120"/>
    <col min="13586" max="13586" width="14.875" style="120" bestFit="1" customWidth="1"/>
    <col min="13587" max="13825" width="8.875" style="120"/>
    <col min="13826" max="13826" width="46.75" style="120" bestFit="1" customWidth="1"/>
    <col min="13827" max="13837" width="9.75" style="120" customWidth="1"/>
    <col min="13838" max="13838" width="11.25" style="120" bestFit="1" customWidth="1"/>
    <col min="13839" max="13839" width="15.25" style="120" bestFit="1" customWidth="1"/>
    <col min="13840" max="13841" width="8.875" style="120"/>
    <col min="13842" max="13842" width="14.875" style="120" bestFit="1" customWidth="1"/>
    <col min="13843" max="14081" width="8.875" style="120"/>
    <col min="14082" max="14082" width="46.75" style="120" bestFit="1" customWidth="1"/>
    <col min="14083" max="14093" width="9.75" style="120" customWidth="1"/>
    <col min="14094" max="14094" width="11.25" style="120" bestFit="1" customWidth="1"/>
    <col min="14095" max="14095" width="15.25" style="120" bestFit="1" customWidth="1"/>
    <col min="14096" max="14097" width="8.875" style="120"/>
    <col min="14098" max="14098" width="14.875" style="120" bestFit="1" customWidth="1"/>
    <col min="14099" max="14337" width="8.875" style="120"/>
    <col min="14338" max="14338" width="46.75" style="120" bestFit="1" customWidth="1"/>
    <col min="14339" max="14349" width="9.75" style="120" customWidth="1"/>
    <col min="14350" max="14350" width="11.25" style="120" bestFit="1" customWidth="1"/>
    <col min="14351" max="14351" width="15.25" style="120" bestFit="1" customWidth="1"/>
    <col min="14352" max="14353" width="8.875" style="120"/>
    <col min="14354" max="14354" width="14.875" style="120" bestFit="1" customWidth="1"/>
    <col min="14355" max="14593" width="8.875" style="120"/>
    <col min="14594" max="14594" width="46.75" style="120" bestFit="1" customWidth="1"/>
    <col min="14595" max="14605" width="9.75" style="120" customWidth="1"/>
    <col min="14606" max="14606" width="11.25" style="120" bestFit="1" customWidth="1"/>
    <col min="14607" max="14607" width="15.25" style="120" bestFit="1" customWidth="1"/>
    <col min="14608" max="14609" width="8.875" style="120"/>
    <col min="14610" max="14610" width="14.875" style="120" bestFit="1" customWidth="1"/>
    <col min="14611" max="14849" width="8.875" style="120"/>
    <col min="14850" max="14850" width="46.75" style="120" bestFit="1" customWidth="1"/>
    <col min="14851" max="14861" width="9.75" style="120" customWidth="1"/>
    <col min="14862" max="14862" width="11.25" style="120" bestFit="1" customWidth="1"/>
    <col min="14863" max="14863" width="15.25" style="120" bestFit="1" customWidth="1"/>
    <col min="14864" max="14865" width="8.875" style="120"/>
    <col min="14866" max="14866" width="14.875" style="120" bestFit="1" customWidth="1"/>
    <col min="14867" max="15105" width="8.875" style="120"/>
    <col min="15106" max="15106" width="46.75" style="120" bestFit="1" customWidth="1"/>
    <col min="15107" max="15117" width="9.75" style="120" customWidth="1"/>
    <col min="15118" max="15118" width="11.25" style="120" bestFit="1" customWidth="1"/>
    <col min="15119" max="15119" width="15.25" style="120" bestFit="1" customWidth="1"/>
    <col min="15120" max="15121" width="8.875" style="120"/>
    <col min="15122" max="15122" width="14.875" style="120" bestFit="1" customWidth="1"/>
    <col min="15123" max="15361" width="8.875" style="120"/>
    <col min="15362" max="15362" width="46.75" style="120" bestFit="1" customWidth="1"/>
    <col min="15363" max="15373" width="9.75" style="120" customWidth="1"/>
    <col min="15374" max="15374" width="11.25" style="120" bestFit="1" customWidth="1"/>
    <col min="15375" max="15375" width="15.25" style="120" bestFit="1" customWidth="1"/>
    <col min="15376" max="15377" width="8.875" style="120"/>
    <col min="15378" max="15378" width="14.875" style="120" bestFit="1" customWidth="1"/>
    <col min="15379" max="15617" width="8.875" style="120"/>
    <col min="15618" max="15618" width="46.75" style="120" bestFit="1" customWidth="1"/>
    <col min="15619" max="15629" width="9.75" style="120" customWidth="1"/>
    <col min="15630" max="15630" width="11.25" style="120" bestFit="1" customWidth="1"/>
    <col min="15631" max="15631" width="15.25" style="120" bestFit="1" customWidth="1"/>
    <col min="15632" max="15633" width="8.875" style="120"/>
    <col min="15634" max="15634" width="14.875" style="120" bestFit="1" customWidth="1"/>
    <col min="15635" max="15873" width="8.875" style="120"/>
    <col min="15874" max="15874" width="46.75" style="120" bestFit="1" customWidth="1"/>
    <col min="15875" max="15885" width="9.75" style="120" customWidth="1"/>
    <col min="15886" max="15886" width="11.25" style="120" bestFit="1" customWidth="1"/>
    <col min="15887" max="15887" width="15.25" style="120" bestFit="1" customWidth="1"/>
    <col min="15888" max="15889" width="8.875" style="120"/>
    <col min="15890" max="15890" width="14.875" style="120" bestFit="1" customWidth="1"/>
    <col min="15891" max="16129" width="8.875" style="120"/>
    <col min="16130" max="16130" width="46.75" style="120" bestFit="1" customWidth="1"/>
    <col min="16131" max="16141" width="9.75" style="120" customWidth="1"/>
    <col min="16142" max="16142" width="11.25" style="120" bestFit="1" customWidth="1"/>
    <col min="16143" max="16143" width="15.25" style="120" bestFit="1" customWidth="1"/>
    <col min="16144" max="16145" width="8.875" style="120"/>
    <col min="16146" max="16146" width="14.875" style="120" bestFit="1" customWidth="1"/>
    <col min="16147" max="16384" width="8.875" style="120"/>
  </cols>
  <sheetData>
    <row r="1" spans="1:15" x14ac:dyDescent="0.35">
      <c r="B1" s="118"/>
      <c r="C1" s="118"/>
      <c r="D1" s="118"/>
      <c r="E1" s="118"/>
      <c r="F1" s="118"/>
      <c r="G1" s="118"/>
      <c r="H1" s="118"/>
      <c r="I1" s="118"/>
      <c r="J1" s="118"/>
      <c r="K1" s="118"/>
      <c r="L1" s="118"/>
      <c r="M1" s="118"/>
      <c r="N1" s="118"/>
      <c r="O1" s="118"/>
    </row>
    <row r="2" spans="1:15" x14ac:dyDescent="0.35">
      <c r="A2" s="338"/>
      <c r="B2" s="124" t="s">
        <v>142</v>
      </c>
      <c r="C2" s="122"/>
      <c r="D2" s="339"/>
      <c r="E2" s="340"/>
      <c r="F2" s="340"/>
      <c r="G2" s="340"/>
      <c r="H2" s="340"/>
      <c r="I2" s="340"/>
      <c r="J2" s="340"/>
      <c r="K2" s="340"/>
      <c r="L2" s="340"/>
      <c r="M2" s="118"/>
      <c r="N2" s="118"/>
      <c r="O2" s="118"/>
    </row>
    <row r="3" spans="1:15" ht="18" customHeight="1" x14ac:dyDescent="0.35">
      <c r="A3" s="338"/>
      <c r="B3" s="122"/>
      <c r="C3" s="122"/>
      <c r="D3" s="339"/>
      <c r="E3" s="340"/>
      <c r="F3" s="340"/>
      <c r="G3" s="340"/>
      <c r="H3" s="340"/>
      <c r="I3" s="340"/>
      <c r="J3" s="340"/>
      <c r="K3" s="340"/>
      <c r="L3" s="340"/>
      <c r="M3" s="118"/>
      <c r="N3" s="118"/>
      <c r="O3" s="118"/>
    </row>
    <row r="4" spans="1:15" x14ac:dyDescent="0.35">
      <c r="A4" s="338"/>
      <c r="B4" s="341" t="s">
        <v>7</v>
      </c>
      <c r="C4" s="342" t="s">
        <v>8</v>
      </c>
      <c r="D4" s="342"/>
      <c r="E4" s="340"/>
      <c r="F4" s="340"/>
      <c r="G4" s="340"/>
      <c r="H4" s="340"/>
      <c r="I4" s="340"/>
      <c r="J4" s="340"/>
      <c r="K4" s="340"/>
      <c r="L4" s="340"/>
      <c r="M4" s="340"/>
      <c r="N4" s="343"/>
      <c r="O4" s="118"/>
    </row>
    <row r="5" spans="1:15" x14ac:dyDescent="0.35">
      <c r="A5" s="338"/>
      <c r="B5" s="119" t="str">
        <f>IF(ISBLANK(Directions!C6), "Owner", Directions!C6)</f>
        <v>Owner</v>
      </c>
      <c r="C5" s="119" t="str">
        <f>IF(ISBLANK(Directions!D6), "Company 1", Directions!D6)</f>
        <v>Company 1</v>
      </c>
      <c r="D5" s="119"/>
      <c r="E5" s="210"/>
      <c r="F5" s="209"/>
      <c r="G5" s="118"/>
      <c r="H5" s="118"/>
      <c r="I5" s="118"/>
      <c r="J5" s="118"/>
      <c r="K5" s="118"/>
      <c r="L5" s="118"/>
      <c r="M5" s="118"/>
      <c r="N5" s="343"/>
      <c r="O5" s="118"/>
    </row>
    <row r="6" spans="1:15" x14ac:dyDescent="0.35">
      <c r="A6" s="338"/>
      <c r="B6" s="118"/>
      <c r="C6" s="118"/>
      <c r="D6" s="118"/>
      <c r="E6" s="118"/>
      <c r="F6" s="118"/>
      <c r="G6" s="118"/>
      <c r="H6" s="118"/>
      <c r="I6" s="118"/>
      <c r="J6" s="118"/>
      <c r="K6" s="118"/>
      <c r="L6" s="118"/>
      <c r="M6" s="118"/>
      <c r="N6" s="118"/>
      <c r="O6" s="118"/>
    </row>
    <row r="7" spans="1:15" x14ac:dyDescent="0.35">
      <c r="A7" s="338"/>
      <c r="B7" s="118"/>
      <c r="C7" s="209"/>
      <c r="D7" s="223"/>
      <c r="E7" s="223"/>
      <c r="F7" s="223"/>
      <c r="G7" s="223"/>
      <c r="H7" s="223"/>
      <c r="I7" s="223"/>
      <c r="J7" s="223"/>
      <c r="K7" s="223"/>
      <c r="L7" s="223"/>
      <c r="M7" s="223"/>
      <c r="N7" s="223"/>
      <c r="O7" s="223"/>
    </row>
    <row r="8" spans="1:15" ht="16.5" thickBot="1" x14ac:dyDescent="0.4">
      <c r="A8" s="338"/>
      <c r="B8" s="344"/>
      <c r="C8" s="129" t="str">
        <f>'2a-PayrollYear1'!F7</f>
        <v>Month 1</v>
      </c>
      <c r="D8" s="129" t="str">
        <f>'2a-PayrollYear1'!G7</f>
        <v>Month 2</v>
      </c>
      <c r="E8" s="129" t="str">
        <f>'2a-PayrollYear1'!H7</f>
        <v>Month 3</v>
      </c>
      <c r="F8" s="129" t="str">
        <f>'2a-PayrollYear1'!I7</f>
        <v>Month 4</v>
      </c>
      <c r="G8" s="129" t="str">
        <f>'2a-PayrollYear1'!J7</f>
        <v>Month 5</v>
      </c>
      <c r="H8" s="129" t="str">
        <f>'2a-PayrollYear1'!K7</f>
        <v>Month 6</v>
      </c>
      <c r="I8" s="129" t="str">
        <f>'2a-PayrollYear1'!L7</f>
        <v>Month 7</v>
      </c>
      <c r="J8" s="129" t="str">
        <f>'2a-PayrollYear1'!M7</f>
        <v>Month 8</v>
      </c>
      <c r="K8" s="129" t="str">
        <f>'2a-PayrollYear1'!N7</f>
        <v>Month 9</v>
      </c>
      <c r="L8" s="129" t="str">
        <f>'2a-PayrollYear1'!O7</f>
        <v>Month 10</v>
      </c>
      <c r="M8" s="129" t="str">
        <f>'2a-PayrollYear1'!P7</f>
        <v>Month 11</v>
      </c>
      <c r="N8" s="129" t="str">
        <f>'2a-PayrollYear1'!Q7</f>
        <v>Month 12</v>
      </c>
      <c r="O8" s="129" t="s">
        <v>68</v>
      </c>
    </row>
    <row r="9" spans="1:15" ht="16.5" thickTop="1" x14ac:dyDescent="0.35">
      <c r="A9" s="338"/>
      <c r="B9" s="345" t="s">
        <v>143</v>
      </c>
      <c r="C9" s="346"/>
      <c r="D9" s="346"/>
      <c r="E9" s="346"/>
      <c r="F9" s="346"/>
      <c r="G9" s="346"/>
      <c r="H9" s="346"/>
      <c r="I9" s="346"/>
      <c r="J9" s="346"/>
      <c r="K9" s="346"/>
      <c r="L9" s="346"/>
      <c r="M9" s="346"/>
      <c r="N9" s="346"/>
      <c r="O9" s="347"/>
    </row>
    <row r="10" spans="1:15" x14ac:dyDescent="0.35">
      <c r="A10" s="338"/>
      <c r="B10" s="348" t="s">
        <v>144</v>
      </c>
      <c r="C10" s="349"/>
      <c r="D10" s="349"/>
      <c r="E10" s="349"/>
      <c r="F10" s="349"/>
      <c r="G10" s="349"/>
      <c r="H10" s="349"/>
      <c r="I10" s="349"/>
      <c r="J10" s="349"/>
      <c r="K10" s="349"/>
      <c r="L10" s="349"/>
      <c r="M10" s="349"/>
      <c r="N10" s="349"/>
      <c r="O10" s="142">
        <f t="shared" ref="O10:O25" si="0">SUM(C10:N10)</f>
        <v>0</v>
      </c>
    </row>
    <row r="11" spans="1:15" x14ac:dyDescent="0.35">
      <c r="A11" s="338"/>
      <c r="B11" s="348" t="s">
        <v>145</v>
      </c>
      <c r="C11" s="349"/>
      <c r="D11" s="349"/>
      <c r="E11" s="349"/>
      <c r="F11" s="349"/>
      <c r="G11" s="349"/>
      <c r="H11" s="349"/>
      <c r="I11" s="349"/>
      <c r="J11" s="349"/>
      <c r="K11" s="349"/>
      <c r="L11" s="349"/>
      <c r="M11" s="349"/>
      <c r="N11" s="349"/>
      <c r="O11" s="142">
        <f t="shared" si="0"/>
        <v>0</v>
      </c>
    </row>
    <row r="12" spans="1:15" x14ac:dyDescent="0.35">
      <c r="A12" s="338"/>
      <c r="B12" s="348" t="s">
        <v>146</v>
      </c>
      <c r="C12" s="349"/>
      <c r="D12" s="349"/>
      <c r="E12" s="349"/>
      <c r="F12" s="349"/>
      <c r="G12" s="349"/>
      <c r="H12" s="349"/>
      <c r="I12" s="349"/>
      <c r="J12" s="349"/>
      <c r="K12" s="349"/>
      <c r="L12" s="349"/>
      <c r="M12" s="349"/>
      <c r="N12" s="349"/>
      <c r="O12" s="142">
        <f t="shared" si="0"/>
        <v>0</v>
      </c>
    </row>
    <row r="13" spans="1:15" x14ac:dyDescent="0.35">
      <c r="A13" s="338"/>
      <c r="B13" s="348" t="s">
        <v>147</v>
      </c>
      <c r="C13" s="349"/>
      <c r="D13" s="349"/>
      <c r="E13" s="349"/>
      <c r="F13" s="349"/>
      <c r="G13" s="349"/>
      <c r="H13" s="349"/>
      <c r="I13" s="349"/>
      <c r="J13" s="349"/>
      <c r="K13" s="349"/>
      <c r="L13" s="349"/>
      <c r="M13" s="349"/>
      <c r="N13" s="349"/>
      <c r="O13" s="142">
        <f t="shared" si="0"/>
        <v>0</v>
      </c>
    </row>
    <row r="14" spans="1:15" x14ac:dyDescent="0.35">
      <c r="A14" s="338"/>
      <c r="B14" s="348" t="s">
        <v>148</v>
      </c>
      <c r="C14" s="349"/>
      <c r="D14" s="349"/>
      <c r="E14" s="349"/>
      <c r="F14" s="349"/>
      <c r="G14" s="349"/>
      <c r="H14" s="349"/>
      <c r="I14" s="349"/>
      <c r="J14" s="349"/>
      <c r="K14" s="349"/>
      <c r="L14" s="349"/>
      <c r="M14" s="349"/>
      <c r="N14" s="349"/>
      <c r="O14" s="142">
        <f t="shared" si="0"/>
        <v>0</v>
      </c>
    </row>
    <row r="15" spans="1:15" x14ac:dyDescent="0.35">
      <c r="A15" s="338"/>
      <c r="B15" s="348" t="s">
        <v>149</v>
      </c>
      <c r="C15" s="349"/>
      <c r="D15" s="349"/>
      <c r="E15" s="349"/>
      <c r="F15" s="349"/>
      <c r="G15" s="349"/>
      <c r="H15" s="349"/>
      <c r="I15" s="349"/>
      <c r="J15" s="349"/>
      <c r="K15" s="349"/>
      <c r="L15" s="349"/>
      <c r="M15" s="349"/>
      <c r="N15" s="349"/>
      <c r="O15" s="142">
        <f t="shared" si="0"/>
        <v>0</v>
      </c>
    </row>
    <row r="16" spans="1:15" x14ac:dyDescent="0.35">
      <c r="A16" s="338"/>
      <c r="B16" s="348" t="s">
        <v>31</v>
      </c>
      <c r="C16" s="349"/>
      <c r="D16" s="349"/>
      <c r="E16" s="349"/>
      <c r="F16" s="349"/>
      <c r="G16" s="349"/>
      <c r="H16" s="349"/>
      <c r="I16" s="349"/>
      <c r="J16" s="349"/>
      <c r="K16" s="349"/>
      <c r="L16" s="349"/>
      <c r="M16" s="349"/>
      <c r="N16" s="349"/>
      <c r="O16" s="142">
        <f t="shared" si="0"/>
        <v>0</v>
      </c>
    </row>
    <row r="17" spans="1:15" x14ac:dyDescent="0.35">
      <c r="A17" s="338"/>
      <c r="B17" s="348" t="s">
        <v>150</v>
      </c>
      <c r="C17" s="349"/>
      <c r="D17" s="349"/>
      <c r="E17" s="349"/>
      <c r="F17" s="349"/>
      <c r="G17" s="349"/>
      <c r="H17" s="349"/>
      <c r="I17" s="349"/>
      <c r="J17" s="349"/>
      <c r="K17" s="349"/>
      <c r="L17" s="349"/>
      <c r="M17" s="349"/>
      <c r="N17" s="349"/>
      <c r="O17" s="142">
        <f t="shared" si="0"/>
        <v>0</v>
      </c>
    </row>
    <row r="18" spans="1:15" x14ac:dyDescent="0.35">
      <c r="A18" s="338"/>
      <c r="B18" s="348" t="s">
        <v>151</v>
      </c>
      <c r="C18" s="349"/>
      <c r="D18" s="349"/>
      <c r="E18" s="349"/>
      <c r="F18" s="349"/>
      <c r="G18" s="349"/>
      <c r="H18" s="349"/>
      <c r="I18" s="349"/>
      <c r="J18" s="349"/>
      <c r="K18" s="349"/>
      <c r="L18" s="349"/>
      <c r="M18" s="349"/>
      <c r="N18" s="349"/>
      <c r="O18" s="142">
        <f t="shared" si="0"/>
        <v>0</v>
      </c>
    </row>
    <row r="19" spans="1:15" x14ac:dyDescent="0.35">
      <c r="A19" s="338"/>
      <c r="B19" s="348" t="s">
        <v>152</v>
      </c>
      <c r="C19" s="349"/>
      <c r="D19" s="349"/>
      <c r="E19" s="349"/>
      <c r="F19" s="349"/>
      <c r="G19" s="349"/>
      <c r="H19" s="349"/>
      <c r="I19" s="349"/>
      <c r="J19" s="349"/>
      <c r="K19" s="349"/>
      <c r="L19" s="349"/>
      <c r="M19" s="349"/>
      <c r="N19" s="349"/>
      <c r="O19" s="142">
        <f t="shared" si="0"/>
        <v>0</v>
      </c>
    </row>
    <row r="20" spans="1:15" x14ac:dyDescent="0.35">
      <c r="A20" s="338"/>
      <c r="B20" s="348" t="s">
        <v>153</v>
      </c>
      <c r="C20" s="349"/>
      <c r="D20" s="349"/>
      <c r="E20" s="349"/>
      <c r="F20" s="349"/>
      <c r="G20" s="349"/>
      <c r="H20" s="349"/>
      <c r="I20" s="349"/>
      <c r="J20" s="349"/>
      <c r="K20" s="349"/>
      <c r="L20" s="349"/>
      <c r="M20" s="349"/>
      <c r="N20" s="349"/>
      <c r="O20" s="142">
        <f t="shared" si="0"/>
        <v>0</v>
      </c>
    </row>
    <row r="21" spans="1:15" x14ac:dyDescent="0.35">
      <c r="A21" s="338"/>
      <c r="B21" s="348" t="s">
        <v>29</v>
      </c>
      <c r="C21" s="349"/>
      <c r="D21" s="349"/>
      <c r="E21" s="349"/>
      <c r="F21" s="349"/>
      <c r="G21" s="349"/>
      <c r="H21" s="349"/>
      <c r="I21" s="349"/>
      <c r="J21" s="349"/>
      <c r="K21" s="349"/>
      <c r="L21" s="349"/>
      <c r="M21" s="349"/>
      <c r="N21" s="349"/>
      <c r="O21" s="142">
        <f t="shared" si="0"/>
        <v>0</v>
      </c>
    </row>
    <row r="22" spans="1:15" x14ac:dyDescent="0.35">
      <c r="A22" s="338"/>
      <c r="B22" s="348" t="s">
        <v>154</v>
      </c>
      <c r="C22" s="349"/>
      <c r="D22" s="349"/>
      <c r="E22" s="349"/>
      <c r="F22" s="349"/>
      <c r="G22" s="349"/>
      <c r="H22" s="349"/>
      <c r="I22" s="349"/>
      <c r="J22" s="349"/>
      <c r="K22" s="349"/>
      <c r="L22" s="349"/>
      <c r="M22" s="349"/>
      <c r="N22" s="349"/>
      <c r="O22" s="142">
        <f t="shared" si="0"/>
        <v>0</v>
      </c>
    </row>
    <row r="23" spans="1:15" x14ac:dyDescent="0.35">
      <c r="A23" s="338"/>
      <c r="B23" s="348" t="s">
        <v>155</v>
      </c>
      <c r="C23" s="349"/>
      <c r="D23" s="349"/>
      <c r="E23" s="349"/>
      <c r="F23" s="349"/>
      <c r="G23" s="349"/>
      <c r="H23" s="349"/>
      <c r="I23" s="349"/>
      <c r="J23" s="349"/>
      <c r="K23" s="349"/>
      <c r="L23" s="349"/>
      <c r="M23" s="349"/>
      <c r="N23" s="349"/>
      <c r="O23" s="142">
        <f t="shared" si="0"/>
        <v>0</v>
      </c>
    </row>
    <row r="24" spans="1:15" x14ac:dyDescent="0.35">
      <c r="A24" s="338"/>
      <c r="B24" s="348" t="s">
        <v>156</v>
      </c>
      <c r="C24" s="349"/>
      <c r="D24" s="349"/>
      <c r="E24" s="349"/>
      <c r="F24" s="349"/>
      <c r="G24" s="349"/>
      <c r="H24" s="349"/>
      <c r="I24" s="349"/>
      <c r="J24" s="349"/>
      <c r="K24" s="349"/>
      <c r="L24" s="349"/>
      <c r="M24" s="349"/>
      <c r="N24" s="349"/>
      <c r="O24" s="142">
        <f t="shared" si="0"/>
        <v>0</v>
      </c>
    </row>
    <row r="25" spans="1:15" x14ac:dyDescent="0.35">
      <c r="A25" s="338"/>
      <c r="B25" s="145" t="s">
        <v>157</v>
      </c>
      <c r="C25" s="350">
        <f t="shared" ref="C25:N25" si="1">SUM(C10:C24)</f>
        <v>0</v>
      </c>
      <c r="D25" s="350">
        <f t="shared" si="1"/>
        <v>0</v>
      </c>
      <c r="E25" s="350">
        <f t="shared" si="1"/>
        <v>0</v>
      </c>
      <c r="F25" s="350">
        <f t="shared" si="1"/>
        <v>0</v>
      </c>
      <c r="G25" s="350">
        <f t="shared" si="1"/>
        <v>0</v>
      </c>
      <c r="H25" s="350">
        <f t="shared" si="1"/>
        <v>0</v>
      </c>
      <c r="I25" s="350">
        <f t="shared" si="1"/>
        <v>0</v>
      </c>
      <c r="J25" s="350">
        <f t="shared" si="1"/>
        <v>0</v>
      </c>
      <c r="K25" s="350">
        <f t="shared" si="1"/>
        <v>0</v>
      </c>
      <c r="L25" s="350">
        <f t="shared" si="1"/>
        <v>0</v>
      </c>
      <c r="M25" s="350">
        <f t="shared" si="1"/>
        <v>0</v>
      </c>
      <c r="N25" s="350">
        <f t="shared" si="1"/>
        <v>0</v>
      </c>
      <c r="O25" s="142">
        <f t="shared" si="0"/>
        <v>0</v>
      </c>
    </row>
    <row r="26" spans="1:15" x14ac:dyDescent="0.35">
      <c r="A26" s="338"/>
      <c r="B26" s="145"/>
      <c r="C26" s="351"/>
      <c r="D26" s="351"/>
      <c r="E26" s="351"/>
      <c r="F26" s="351"/>
      <c r="G26" s="351"/>
      <c r="H26" s="351"/>
      <c r="I26" s="351"/>
      <c r="J26" s="351"/>
      <c r="K26" s="351"/>
      <c r="L26" s="351"/>
      <c r="M26" s="351"/>
      <c r="N26" s="351"/>
      <c r="O26" s="165"/>
    </row>
    <row r="27" spans="1:15" x14ac:dyDescent="0.35">
      <c r="A27" s="338"/>
      <c r="B27" s="352" t="s">
        <v>158</v>
      </c>
      <c r="C27" s="353"/>
      <c r="D27" s="353"/>
      <c r="E27" s="353"/>
      <c r="F27" s="353"/>
      <c r="G27" s="353"/>
      <c r="H27" s="353"/>
      <c r="I27" s="353"/>
      <c r="J27" s="353"/>
      <c r="K27" s="353"/>
      <c r="L27" s="353"/>
      <c r="M27" s="353"/>
      <c r="N27" s="353"/>
      <c r="O27" s="138"/>
    </row>
    <row r="28" spans="1:15" x14ac:dyDescent="0.35">
      <c r="B28" s="354" t="s">
        <v>159</v>
      </c>
      <c r="C28" s="355">
        <f>'Amortization&amp;Depreciation'!C119</f>
        <v>0</v>
      </c>
      <c r="D28" s="355">
        <f>'Amortization&amp;Depreciation'!D119</f>
        <v>0</v>
      </c>
      <c r="E28" s="355">
        <f>'Amortization&amp;Depreciation'!E119</f>
        <v>0</v>
      </c>
      <c r="F28" s="355">
        <f>'Amortization&amp;Depreciation'!F119</f>
        <v>0</v>
      </c>
      <c r="G28" s="355">
        <f>'Amortization&amp;Depreciation'!G119</f>
        <v>0</v>
      </c>
      <c r="H28" s="355">
        <f>'Amortization&amp;Depreciation'!H119</f>
        <v>0</v>
      </c>
      <c r="I28" s="355">
        <f>'Amortization&amp;Depreciation'!I119</f>
        <v>0</v>
      </c>
      <c r="J28" s="355">
        <f>'Amortization&amp;Depreciation'!J119</f>
        <v>0</v>
      </c>
      <c r="K28" s="355">
        <f>'Amortization&amp;Depreciation'!K119</f>
        <v>0</v>
      </c>
      <c r="L28" s="355">
        <f>'Amortization&amp;Depreciation'!L119</f>
        <v>0</v>
      </c>
      <c r="M28" s="355">
        <f>'Amortization&amp;Depreciation'!M119</f>
        <v>0</v>
      </c>
      <c r="N28" s="355">
        <f>'Amortization&amp;Depreciation'!N119</f>
        <v>0</v>
      </c>
      <c r="O28" s="142">
        <f>SUM(C28:N28)</f>
        <v>0</v>
      </c>
    </row>
    <row r="29" spans="1:15" x14ac:dyDescent="0.35">
      <c r="B29" s="354" t="s">
        <v>160</v>
      </c>
      <c r="C29" s="305"/>
      <c r="D29" s="305"/>
      <c r="E29" s="305"/>
      <c r="F29" s="305"/>
      <c r="G29" s="305"/>
      <c r="H29" s="305"/>
      <c r="I29" s="305"/>
      <c r="J29" s="305"/>
      <c r="K29" s="305"/>
      <c r="L29" s="305"/>
      <c r="M29" s="305"/>
      <c r="N29" s="305"/>
      <c r="O29" s="138"/>
    </row>
    <row r="30" spans="1:15" x14ac:dyDescent="0.35">
      <c r="B30" s="356" t="str">
        <f>'1-StartingPoint'!B37</f>
        <v>Commercial Loan</v>
      </c>
      <c r="C30" s="355">
        <f>'Amortization&amp;Depreciation'!C15</f>
        <v>0</v>
      </c>
      <c r="D30" s="355">
        <f>'Amortization&amp;Depreciation'!D15</f>
        <v>0</v>
      </c>
      <c r="E30" s="355">
        <f>'Amortization&amp;Depreciation'!E15</f>
        <v>0</v>
      </c>
      <c r="F30" s="355">
        <f>'Amortization&amp;Depreciation'!F15</f>
        <v>0</v>
      </c>
      <c r="G30" s="355">
        <f>'Amortization&amp;Depreciation'!G15</f>
        <v>0</v>
      </c>
      <c r="H30" s="355">
        <f>'Amortization&amp;Depreciation'!H15</f>
        <v>0</v>
      </c>
      <c r="I30" s="355">
        <f>'Amortization&amp;Depreciation'!I15</f>
        <v>0</v>
      </c>
      <c r="J30" s="355">
        <f>'Amortization&amp;Depreciation'!J15</f>
        <v>0</v>
      </c>
      <c r="K30" s="355">
        <f>'Amortization&amp;Depreciation'!K15</f>
        <v>0</v>
      </c>
      <c r="L30" s="355">
        <f>'Amortization&amp;Depreciation'!L15</f>
        <v>0</v>
      </c>
      <c r="M30" s="355">
        <f>'Amortization&amp;Depreciation'!M15</f>
        <v>0</v>
      </c>
      <c r="N30" s="355">
        <f>'Amortization&amp;Depreciation'!N15</f>
        <v>0</v>
      </c>
      <c r="O30" s="142">
        <f t="shared" ref="O30:O38" si="2">SUM(C30:N30)</f>
        <v>0</v>
      </c>
    </row>
    <row r="31" spans="1:15" x14ac:dyDescent="0.35">
      <c r="B31" s="356" t="str">
        <f>'1-StartingPoint'!B38</f>
        <v>Commercial Mortgage</v>
      </c>
      <c r="C31" s="355">
        <f>'Amortization&amp;Depreciation'!C35</f>
        <v>0</v>
      </c>
      <c r="D31" s="355">
        <f>'Amortization&amp;Depreciation'!D35</f>
        <v>0</v>
      </c>
      <c r="E31" s="355">
        <f>'Amortization&amp;Depreciation'!E35</f>
        <v>0</v>
      </c>
      <c r="F31" s="355">
        <f>'Amortization&amp;Depreciation'!F35</f>
        <v>0</v>
      </c>
      <c r="G31" s="355">
        <f>'Amortization&amp;Depreciation'!G35</f>
        <v>0</v>
      </c>
      <c r="H31" s="355">
        <f>'Amortization&amp;Depreciation'!H35</f>
        <v>0</v>
      </c>
      <c r="I31" s="355">
        <f>'Amortization&amp;Depreciation'!I35</f>
        <v>0</v>
      </c>
      <c r="J31" s="355">
        <f>'Amortization&amp;Depreciation'!J35</f>
        <v>0</v>
      </c>
      <c r="K31" s="355">
        <f>'Amortization&amp;Depreciation'!K35</f>
        <v>0</v>
      </c>
      <c r="L31" s="355">
        <f>'Amortization&amp;Depreciation'!L35</f>
        <v>0</v>
      </c>
      <c r="M31" s="355">
        <f>'Amortization&amp;Depreciation'!M35</f>
        <v>0</v>
      </c>
      <c r="N31" s="355">
        <f>'Amortization&amp;Depreciation'!N35</f>
        <v>0</v>
      </c>
      <c r="O31" s="142">
        <f t="shared" si="2"/>
        <v>0</v>
      </c>
    </row>
    <row r="32" spans="1:15" x14ac:dyDescent="0.35">
      <c r="B32" s="356" t="str">
        <f>'1-StartingPoint'!B39</f>
        <v>Credit Card Debt</v>
      </c>
      <c r="C32" s="355">
        <f>'Amortization&amp;Depreciation'!C55</f>
        <v>0</v>
      </c>
      <c r="D32" s="355">
        <f>'Amortization&amp;Depreciation'!D55</f>
        <v>0</v>
      </c>
      <c r="E32" s="355">
        <f>'Amortization&amp;Depreciation'!E55</f>
        <v>0</v>
      </c>
      <c r="F32" s="355">
        <f>'Amortization&amp;Depreciation'!F55</f>
        <v>0</v>
      </c>
      <c r="G32" s="355">
        <f>'Amortization&amp;Depreciation'!G55</f>
        <v>0</v>
      </c>
      <c r="H32" s="355">
        <f>'Amortization&amp;Depreciation'!H55</f>
        <v>0</v>
      </c>
      <c r="I32" s="355">
        <f>'Amortization&amp;Depreciation'!I55</f>
        <v>0</v>
      </c>
      <c r="J32" s="355">
        <f>'Amortization&amp;Depreciation'!J55</f>
        <v>0</v>
      </c>
      <c r="K32" s="355">
        <f>'Amortization&amp;Depreciation'!K55</f>
        <v>0</v>
      </c>
      <c r="L32" s="355">
        <f>'Amortization&amp;Depreciation'!L55</f>
        <v>0</v>
      </c>
      <c r="M32" s="355">
        <f>'Amortization&amp;Depreciation'!M55</f>
        <v>0</v>
      </c>
      <c r="N32" s="355">
        <f>'Amortization&amp;Depreciation'!N55</f>
        <v>0</v>
      </c>
      <c r="O32" s="142">
        <f t="shared" si="2"/>
        <v>0</v>
      </c>
    </row>
    <row r="33" spans="2:18" x14ac:dyDescent="0.35">
      <c r="B33" s="356" t="str">
        <f>'1-StartingPoint'!B40</f>
        <v>Vehicle Loans</v>
      </c>
      <c r="C33" s="355">
        <f>'Amortization&amp;Depreciation'!C75</f>
        <v>0</v>
      </c>
      <c r="D33" s="355">
        <f>'Amortization&amp;Depreciation'!D75</f>
        <v>0</v>
      </c>
      <c r="E33" s="355">
        <f>'Amortization&amp;Depreciation'!E75</f>
        <v>0</v>
      </c>
      <c r="F33" s="355">
        <f>'Amortization&amp;Depreciation'!F75</f>
        <v>0</v>
      </c>
      <c r="G33" s="355">
        <f>'Amortization&amp;Depreciation'!G75</f>
        <v>0</v>
      </c>
      <c r="H33" s="355">
        <f>'Amortization&amp;Depreciation'!H75</f>
        <v>0</v>
      </c>
      <c r="I33" s="355">
        <f>'Amortization&amp;Depreciation'!I75</f>
        <v>0</v>
      </c>
      <c r="J33" s="355">
        <f>'Amortization&amp;Depreciation'!J75</f>
        <v>0</v>
      </c>
      <c r="K33" s="355">
        <f>'Amortization&amp;Depreciation'!K75</f>
        <v>0</v>
      </c>
      <c r="L33" s="355">
        <f>'Amortization&amp;Depreciation'!L75</f>
        <v>0</v>
      </c>
      <c r="M33" s="355">
        <f>'Amortization&amp;Depreciation'!M75</f>
        <v>0</v>
      </c>
      <c r="N33" s="355">
        <f>'Amortization&amp;Depreciation'!N75</f>
        <v>0</v>
      </c>
      <c r="O33" s="142">
        <f t="shared" si="2"/>
        <v>0</v>
      </c>
    </row>
    <row r="34" spans="2:18" x14ac:dyDescent="0.35">
      <c r="B34" s="356" t="str">
        <f>'1-StartingPoint'!B41</f>
        <v>Other Bank Debt</v>
      </c>
      <c r="C34" s="355">
        <f>'Amortization&amp;Depreciation'!C95</f>
        <v>0</v>
      </c>
      <c r="D34" s="355">
        <f>'Amortization&amp;Depreciation'!D95</f>
        <v>0</v>
      </c>
      <c r="E34" s="355">
        <f>'Amortization&amp;Depreciation'!E95</f>
        <v>0</v>
      </c>
      <c r="F34" s="355">
        <f>'Amortization&amp;Depreciation'!F95</f>
        <v>0</v>
      </c>
      <c r="G34" s="355">
        <f>'Amortization&amp;Depreciation'!G95</f>
        <v>0</v>
      </c>
      <c r="H34" s="355">
        <f>'Amortization&amp;Depreciation'!H95</f>
        <v>0</v>
      </c>
      <c r="I34" s="355">
        <f>'Amortization&amp;Depreciation'!I95</f>
        <v>0</v>
      </c>
      <c r="J34" s="355">
        <f>'Amortization&amp;Depreciation'!J95</f>
        <v>0</v>
      </c>
      <c r="K34" s="355">
        <f>'Amortization&amp;Depreciation'!K95</f>
        <v>0</v>
      </c>
      <c r="L34" s="355">
        <f>'Amortization&amp;Depreciation'!L95</f>
        <v>0</v>
      </c>
      <c r="M34" s="355">
        <f>'Amortization&amp;Depreciation'!M95</f>
        <v>0</v>
      </c>
      <c r="N34" s="355">
        <f>'Amortization&amp;Depreciation'!N95</f>
        <v>0</v>
      </c>
      <c r="O34" s="142">
        <f t="shared" si="2"/>
        <v>0</v>
      </c>
    </row>
    <row r="35" spans="2:18" x14ac:dyDescent="0.35">
      <c r="B35" s="356" t="s">
        <v>161</v>
      </c>
      <c r="C35" s="355">
        <f>'6a-CashFlowYear1'!C26</f>
        <v>0</v>
      </c>
      <c r="D35" s="355">
        <f>'6a-CashFlowYear1'!D26</f>
        <v>0</v>
      </c>
      <c r="E35" s="355">
        <f>'6a-CashFlowYear1'!E26</f>
        <v>0</v>
      </c>
      <c r="F35" s="355">
        <f>'6a-CashFlowYear1'!F26</f>
        <v>0</v>
      </c>
      <c r="G35" s="355">
        <f>'6a-CashFlowYear1'!G26</f>
        <v>0</v>
      </c>
      <c r="H35" s="355">
        <f>'6a-CashFlowYear1'!H26</f>
        <v>0</v>
      </c>
      <c r="I35" s="355">
        <f>'6a-CashFlowYear1'!I26</f>
        <v>0</v>
      </c>
      <c r="J35" s="355">
        <f>'6a-CashFlowYear1'!J26</f>
        <v>0</v>
      </c>
      <c r="K35" s="355">
        <f>'6a-CashFlowYear1'!K26</f>
        <v>0</v>
      </c>
      <c r="L35" s="355">
        <f>'6a-CashFlowYear1'!L26</f>
        <v>0</v>
      </c>
      <c r="M35" s="355">
        <f>'6a-CashFlowYear1'!M26</f>
        <v>0</v>
      </c>
      <c r="N35" s="355">
        <f>'6a-CashFlowYear1'!N26</f>
        <v>0</v>
      </c>
      <c r="O35" s="142">
        <f t="shared" si="2"/>
        <v>0</v>
      </c>
    </row>
    <row r="36" spans="2:18" x14ac:dyDescent="0.35">
      <c r="B36" s="354" t="s">
        <v>162</v>
      </c>
      <c r="C36" s="355">
        <f>+'7a-IncomeStatementYear1'!C56</f>
        <v>0</v>
      </c>
      <c r="D36" s="355">
        <f>+'7a-IncomeStatementYear1'!D56</f>
        <v>0</v>
      </c>
      <c r="E36" s="355">
        <f>+'7a-IncomeStatementYear1'!E56</f>
        <v>0</v>
      </c>
      <c r="F36" s="355">
        <f>+'7a-IncomeStatementYear1'!F56</f>
        <v>0</v>
      </c>
      <c r="G36" s="355">
        <f>+'7a-IncomeStatementYear1'!G56</f>
        <v>0</v>
      </c>
      <c r="H36" s="355">
        <f>+'7a-IncomeStatementYear1'!H56</f>
        <v>0</v>
      </c>
      <c r="I36" s="355">
        <f>+'7a-IncomeStatementYear1'!I56</f>
        <v>0</v>
      </c>
      <c r="J36" s="355">
        <f>+'7a-IncomeStatementYear1'!J56</f>
        <v>0</v>
      </c>
      <c r="K36" s="355">
        <f>+'7a-IncomeStatementYear1'!K56</f>
        <v>0</v>
      </c>
      <c r="L36" s="355">
        <f>+'7a-IncomeStatementYear1'!L56</f>
        <v>0</v>
      </c>
      <c r="M36" s="355">
        <f>+'7a-IncomeStatementYear1'!M56</f>
        <v>0</v>
      </c>
      <c r="N36" s="355">
        <f>+'7a-IncomeStatementYear1'!N56</f>
        <v>0</v>
      </c>
      <c r="O36" s="142">
        <f t="shared" si="2"/>
        <v>0</v>
      </c>
    </row>
    <row r="37" spans="2:18" x14ac:dyDescent="0.35">
      <c r="B37" s="357" t="s">
        <v>163</v>
      </c>
      <c r="C37" s="358">
        <f>SUM(C28:C36)</f>
        <v>0</v>
      </c>
      <c r="D37" s="358">
        <f>SUM(D28:D36)</f>
        <v>0</v>
      </c>
      <c r="E37" s="358">
        <f t="shared" ref="E37:N37" si="3">SUM(E28:E36)</f>
        <v>0</v>
      </c>
      <c r="F37" s="358">
        <f t="shared" si="3"/>
        <v>0</v>
      </c>
      <c r="G37" s="358">
        <f t="shared" si="3"/>
        <v>0</v>
      </c>
      <c r="H37" s="358">
        <f t="shared" si="3"/>
        <v>0</v>
      </c>
      <c r="I37" s="358">
        <f t="shared" si="3"/>
        <v>0</v>
      </c>
      <c r="J37" s="358">
        <f t="shared" si="3"/>
        <v>0</v>
      </c>
      <c r="K37" s="358">
        <f t="shared" si="3"/>
        <v>0</v>
      </c>
      <c r="L37" s="358">
        <f t="shared" si="3"/>
        <v>0</v>
      </c>
      <c r="M37" s="358">
        <f t="shared" si="3"/>
        <v>0</v>
      </c>
      <c r="N37" s="358">
        <f t="shared" si="3"/>
        <v>0</v>
      </c>
      <c r="O37" s="142">
        <f t="shared" si="2"/>
        <v>0</v>
      </c>
    </row>
    <row r="38" spans="2:18" x14ac:dyDescent="0.35">
      <c r="B38" s="138" t="s">
        <v>164</v>
      </c>
      <c r="C38" s="165">
        <f>C25+C37</f>
        <v>0</v>
      </c>
      <c r="D38" s="165">
        <f t="shared" ref="D38:N38" si="4">D25+D37</f>
        <v>0</v>
      </c>
      <c r="E38" s="165">
        <f t="shared" si="4"/>
        <v>0</v>
      </c>
      <c r="F38" s="165">
        <f t="shared" si="4"/>
        <v>0</v>
      </c>
      <c r="G38" s="165">
        <f t="shared" si="4"/>
        <v>0</v>
      </c>
      <c r="H38" s="165">
        <f t="shared" si="4"/>
        <v>0</v>
      </c>
      <c r="I38" s="165">
        <f t="shared" si="4"/>
        <v>0</v>
      </c>
      <c r="J38" s="165">
        <f t="shared" si="4"/>
        <v>0</v>
      </c>
      <c r="K38" s="165">
        <f t="shared" si="4"/>
        <v>0</v>
      </c>
      <c r="L38" s="165">
        <f t="shared" si="4"/>
        <v>0</v>
      </c>
      <c r="M38" s="165">
        <f t="shared" si="4"/>
        <v>0</v>
      </c>
      <c r="N38" s="165">
        <f t="shared" si="4"/>
        <v>0</v>
      </c>
      <c r="O38" s="165">
        <f t="shared" si="2"/>
        <v>0</v>
      </c>
      <c r="R38" s="359"/>
    </row>
  </sheetData>
  <sheetProtection formatColumns="0" formatRows="0"/>
  <mergeCells count="2">
    <mergeCell ref="C4:D4"/>
    <mergeCell ref="D7:O7"/>
  </mergeCells>
  <conditionalFormatting sqref="C10:N24">
    <cfRule type="containsBlanks" dxfId="51" priority="1">
      <formula>LEN(TRIM(C10))=0</formula>
    </cfRule>
  </conditionalFormatting>
  <pageMargins left="0.25" right="0.25" top="0.75" bottom="0.75" header="0.3" footer="0.3"/>
  <pageSetup scale="74" orientation="landscape" r:id="rId1"/>
  <headerFooter scaleWithDoc="0">
    <oddHeader>&amp;C&amp;"Gill Sans MT,Regular"&amp;12Operating Expenses Year 1</oddHeader>
    <oddFooter>&amp;L&amp;"Gill Sans MT,Regular"&amp;12&amp;F&amp;C&amp;"Gill Sans MT,Regular"&amp;12&amp;A&amp;R&amp;"Gill Sans MT,Regular"&amp;12&amp;D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autoPageBreaks="0"/>
  </sheetPr>
  <dimension ref="A1:M36"/>
  <sheetViews>
    <sheetView topLeftCell="A19" zoomScaleNormal="100" zoomScalePageLayoutView="70" workbookViewId="0">
      <selection activeCell="J32" sqref="J32"/>
    </sheetView>
  </sheetViews>
  <sheetFormatPr defaultColWidth="8.875" defaultRowHeight="15.75" x14ac:dyDescent="0.35"/>
  <cols>
    <col min="1" max="1" width="6.875" style="118" customWidth="1"/>
    <col min="2" max="2" width="46.75" style="120" bestFit="1" customWidth="1"/>
    <col min="3" max="3" width="15.75" style="120" customWidth="1"/>
    <col min="4" max="4" width="19" style="120" bestFit="1" customWidth="1"/>
    <col min="5" max="5" width="15.75" style="120" customWidth="1"/>
    <col min="6" max="6" width="19.25" style="120" bestFit="1" customWidth="1"/>
    <col min="7" max="7" width="15.75" style="120" customWidth="1"/>
    <col min="8" max="8" width="5.25" style="120" bestFit="1" customWidth="1"/>
    <col min="9" max="256" width="8.875" style="120"/>
    <col min="257" max="257" width="6.875" style="120" customWidth="1"/>
    <col min="258" max="258" width="46.75" style="120" bestFit="1" customWidth="1"/>
    <col min="259" max="259" width="15.75" style="120" customWidth="1"/>
    <col min="260" max="260" width="19" style="120" bestFit="1" customWidth="1"/>
    <col min="261" max="261" width="15.75" style="120" customWidth="1"/>
    <col min="262" max="262" width="19.25" style="120" bestFit="1" customWidth="1"/>
    <col min="263" max="263" width="15.75" style="120" customWidth="1"/>
    <col min="264" max="264" width="5.25" style="120" bestFit="1" customWidth="1"/>
    <col min="265" max="512" width="8.875" style="120"/>
    <col min="513" max="513" width="6.875" style="120" customWidth="1"/>
    <col min="514" max="514" width="46.75" style="120" bestFit="1" customWidth="1"/>
    <col min="515" max="515" width="15.75" style="120" customWidth="1"/>
    <col min="516" max="516" width="19" style="120" bestFit="1" customWidth="1"/>
    <col min="517" max="517" width="15.75" style="120" customWidth="1"/>
    <col min="518" max="518" width="19.25" style="120" bestFit="1" customWidth="1"/>
    <col min="519" max="519" width="15.75" style="120" customWidth="1"/>
    <col min="520" max="520" width="5.25" style="120" bestFit="1" customWidth="1"/>
    <col min="521" max="768" width="8.875" style="120"/>
    <col min="769" max="769" width="6.875" style="120" customWidth="1"/>
    <col min="770" max="770" width="46.75" style="120" bestFit="1" customWidth="1"/>
    <col min="771" max="771" width="15.75" style="120" customWidth="1"/>
    <col min="772" max="772" width="19" style="120" bestFit="1" customWidth="1"/>
    <col min="773" max="773" width="15.75" style="120" customWidth="1"/>
    <col min="774" max="774" width="19.25" style="120" bestFit="1" customWidth="1"/>
    <col min="775" max="775" width="15.75" style="120" customWidth="1"/>
    <col min="776" max="776" width="5.25" style="120" bestFit="1" customWidth="1"/>
    <col min="777" max="1024" width="8.875" style="120"/>
    <col min="1025" max="1025" width="6.875" style="120" customWidth="1"/>
    <col min="1026" max="1026" width="46.75" style="120" bestFit="1" customWidth="1"/>
    <col min="1027" max="1027" width="15.75" style="120" customWidth="1"/>
    <col min="1028" max="1028" width="19" style="120" bestFit="1" customWidth="1"/>
    <col min="1029" max="1029" width="15.75" style="120" customWidth="1"/>
    <col min="1030" max="1030" width="19.25" style="120" bestFit="1" customWidth="1"/>
    <col min="1031" max="1031" width="15.75" style="120" customWidth="1"/>
    <col min="1032" max="1032" width="5.25" style="120" bestFit="1" customWidth="1"/>
    <col min="1033" max="1280" width="8.875" style="120"/>
    <col min="1281" max="1281" width="6.875" style="120" customWidth="1"/>
    <col min="1282" max="1282" width="46.75" style="120" bestFit="1" customWidth="1"/>
    <col min="1283" max="1283" width="15.75" style="120" customWidth="1"/>
    <col min="1284" max="1284" width="19" style="120" bestFit="1" customWidth="1"/>
    <col min="1285" max="1285" width="15.75" style="120" customWidth="1"/>
    <col min="1286" max="1286" width="19.25" style="120" bestFit="1" customWidth="1"/>
    <col min="1287" max="1287" width="15.75" style="120" customWidth="1"/>
    <col min="1288" max="1288" width="5.25" style="120" bestFit="1" customWidth="1"/>
    <col min="1289" max="1536" width="8.875" style="120"/>
    <col min="1537" max="1537" width="6.875" style="120" customWidth="1"/>
    <col min="1538" max="1538" width="46.75" style="120" bestFit="1" customWidth="1"/>
    <col min="1539" max="1539" width="15.75" style="120" customWidth="1"/>
    <col min="1540" max="1540" width="19" style="120" bestFit="1" customWidth="1"/>
    <col min="1541" max="1541" width="15.75" style="120" customWidth="1"/>
    <col min="1542" max="1542" width="19.25" style="120" bestFit="1" customWidth="1"/>
    <col min="1543" max="1543" width="15.75" style="120" customWidth="1"/>
    <col min="1544" max="1544" width="5.25" style="120" bestFit="1" customWidth="1"/>
    <col min="1545" max="1792" width="8.875" style="120"/>
    <col min="1793" max="1793" width="6.875" style="120" customWidth="1"/>
    <col min="1794" max="1794" width="46.75" style="120" bestFit="1" customWidth="1"/>
    <col min="1795" max="1795" width="15.75" style="120" customWidth="1"/>
    <col min="1796" max="1796" width="19" style="120" bestFit="1" customWidth="1"/>
    <col min="1797" max="1797" width="15.75" style="120" customWidth="1"/>
    <col min="1798" max="1798" width="19.25" style="120" bestFit="1" customWidth="1"/>
    <col min="1799" max="1799" width="15.75" style="120" customWidth="1"/>
    <col min="1800" max="1800" width="5.25" style="120" bestFit="1" customWidth="1"/>
    <col min="1801" max="2048" width="8.875" style="120"/>
    <col min="2049" max="2049" width="6.875" style="120" customWidth="1"/>
    <col min="2050" max="2050" width="46.75" style="120" bestFit="1" customWidth="1"/>
    <col min="2051" max="2051" width="15.75" style="120" customWidth="1"/>
    <col min="2052" max="2052" width="19" style="120" bestFit="1" customWidth="1"/>
    <col min="2053" max="2053" width="15.75" style="120" customWidth="1"/>
    <col min="2054" max="2054" width="19.25" style="120" bestFit="1" customWidth="1"/>
    <col min="2055" max="2055" width="15.75" style="120" customWidth="1"/>
    <col min="2056" max="2056" width="5.25" style="120" bestFit="1" customWidth="1"/>
    <col min="2057" max="2304" width="8.875" style="120"/>
    <col min="2305" max="2305" width="6.875" style="120" customWidth="1"/>
    <col min="2306" max="2306" width="46.75" style="120" bestFit="1" customWidth="1"/>
    <col min="2307" max="2307" width="15.75" style="120" customWidth="1"/>
    <col min="2308" max="2308" width="19" style="120" bestFit="1" customWidth="1"/>
    <col min="2309" max="2309" width="15.75" style="120" customWidth="1"/>
    <col min="2310" max="2310" width="19.25" style="120" bestFit="1" customWidth="1"/>
    <col min="2311" max="2311" width="15.75" style="120" customWidth="1"/>
    <col min="2312" max="2312" width="5.25" style="120" bestFit="1" customWidth="1"/>
    <col min="2313" max="2560" width="8.875" style="120"/>
    <col min="2561" max="2561" width="6.875" style="120" customWidth="1"/>
    <col min="2562" max="2562" width="46.75" style="120" bestFit="1" customWidth="1"/>
    <col min="2563" max="2563" width="15.75" style="120" customWidth="1"/>
    <col min="2564" max="2564" width="19" style="120" bestFit="1" customWidth="1"/>
    <col min="2565" max="2565" width="15.75" style="120" customWidth="1"/>
    <col min="2566" max="2566" width="19.25" style="120" bestFit="1" customWidth="1"/>
    <col min="2567" max="2567" width="15.75" style="120" customWidth="1"/>
    <col min="2568" max="2568" width="5.25" style="120" bestFit="1" customWidth="1"/>
    <col min="2569" max="2816" width="8.875" style="120"/>
    <col min="2817" max="2817" width="6.875" style="120" customWidth="1"/>
    <col min="2818" max="2818" width="46.75" style="120" bestFit="1" customWidth="1"/>
    <col min="2819" max="2819" width="15.75" style="120" customWidth="1"/>
    <col min="2820" max="2820" width="19" style="120" bestFit="1" customWidth="1"/>
    <col min="2821" max="2821" width="15.75" style="120" customWidth="1"/>
    <col min="2822" max="2822" width="19.25" style="120" bestFit="1" customWidth="1"/>
    <col min="2823" max="2823" width="15.75" style="120" customWidth="1"/>
    <col min="2824" max="2824" width="5.25" style="120" bestFit="1" customWidth="1"/>
    <col min="2825" max="3072" width="8.875" style="120"/>
    <col min="3073" max="3073" width="6.875" style="120" customWidth="1"/>
    <col min="3074" max="3074" width="46.75" style="120" bestFit="1" customWidth="1"/>
    <col min="3075" max="3075" width="15.75" style="120" customWidth="1"/>
    <col min="3076" max="3076" width="19" style="120" bestFit="1" customWidth="1"/>
    <col min="3077" max="3077" width="15.75" style="120" customWidth="1"/>
    <col min="3078" max="3078" width="19.25" style="120" bestFit="1" customWidth="1"/>
    <col min="3079" max="3079" width="15.75" style="120" customWidth="1"/>
    <col min="3080" max="3080" width="5.25" style="120" bestFit="1" customWidth="1"/>
    <col min="3081" max="3328" width="8.875" style="120"/>
    <col min="3329" max="3329" width="6.875" style="120" customWidth="1"/>
    <col min="3330" max="3330" width="46.75" style="120" bestFit="1" customWidth="1"/>
    <col min="3331" max="3331" width="15.75" style="120" customWidth="1"/>
    <col min="3332" max="3332" width="19" style="120" bestFit="1" customWidth="1"/>
    <col min="3333" max="3333" width="15.75" style="120" customWidth="1"/>
    <col min="3334" max="3334" width="19.25" style="120" bestFit="1" customWidth="1"/>
    <col min="3335" max="3335" width="15.75" style="120" customWidth="1"/>
    <col min="3336" max="3336" width="5.25" style="120" bestFit="1" customWidth="1"/>
    <col min="3337" max="3584" width="8.875" style="120"/>
    <col min="3585" max="3585" width="6.875" style="120" customWidth="1"/>
    <col min="3586" max="3586" width="46.75" style="120" bestFit="1" customWidth="1"/>
    <col min="3587" max="3587" width="15.75" style="120" customWidth="1"/>
    <col min="3588" max="3588" width="19" style="120" bestFit="1" customWidth="1"/>
    <col min="3589" max="3589" width="15.75" style="120" customWidth="1"/>
    <col min="3590" max="3590" width="19.25" style="120" bestFit="1" customWidth="1"/>
    <col min="3591" max="3591" width="15.75" style="120" customWidth="1"/>
    <col min="3592" max="3592" width="5.25" style="120" bestFit="1" customWidth="1"/>
    <col min="3593" max="3840" width="8.875" style="120"/>
    <col min="3841" max="3841" width="6.875" style="120" customWidth="1"/>
    <col min="3842" max="3842" width="46.75" style="120" bestFit="1" customWidth="1"/>
    <col min="3843" max="3843" width="15.75" style="120" customWidth="1"/>
    <col min="3844" max="3844" width="19" style="120" bestFit="1" customWidth="1"/>
    <col min="3845" max="3845" width="15.75" style="120" customWidth="1"/>
    <col min="3846" max="3846" width="19.25" style="120" bestFit="1" customWidth="1"/>
    <col min="3847" max="3847" width="15.75" style="120" customWidth="1"/>
    <col min="3848" max="3848" width="5.25" style="120" bestFit="1" customWidth="1"/>
    <col min="3849" max="4096" width="8.875" style="120"/>
    <col min="4097" max="4097" width="6.875" style="120" customWidth="1"/>
    <col min="4098" max="4098" width="46.75" style="120" bestFit="1" customWidth="1"/>
    <col min="4099" max="4099" width="15.75" style="120" customWidth="1"/>
    <col min="4100" max="4100" width="19" style="120" bestFit="1" customWidth="1"/>
    <col min="4101" max="4101" width="15.75" style="120" customWidth="1"/>
    <col min="4102" max="4102" width="19.25" style="120" bestFit="1" customWidth="1"/>
    <col min="4103" max="4103" width="15.75" style="120" customWidth="1"/>
    <col min="4104" max="4104" width="5.25" style="120" bestFit="1" customWidth="1"/>
    <col min="4105" max="4352" width="8.875" style="120"/>
    <col min="4353" max="4353" width="6.875" style="120" customWidth="1"/>
    <col min="4354" max="4354" width="46.75" style="120" bestFit="1" customWidth="1"/>
    <col min="4355" max="4355" width="15.75" style="120" customWidth="1"/>
    <col min="4356" max="4356" width="19" style="120" bestFit="1" customWidth="1"/>
    <col min="4357" max="4357" width="15.75" style="120" customWidth="1"/>
    <col min="4358" max="4358" width="19.25" style="120" bestFit="1" customWidth="1"/>
    <col min="4359" max="4359" width="15.75" style="120" customWidth="1"/>
    <col min="4360" max="4360" width="5.25" style="120" bestFit="1" customWidth="1"/>
    <col min="4361" max="4608" width="8.875" style="120"/>
    <col min="4609" max="4609" width="6.875" style="120" customWidth="1"/>
    <col min="4610" max="4610" width="46.75" style="120" bestFit="1" customWidth="1"/>
    <col min="4611" max="4611" width="15.75" style="120" customWidth="1"/>
    <col min="4612" max="4612" width="19" style="120" bestFit="1" customWidth="1"/>
    <col min="4613" max="4613" width="15.75" style="120" customWidth="1"/>
    <col min="4614" max="4614" width="19.25" style="120" bestFit="1" customWidth="1"/>
    <col min="4615" max="4615" width="15.75" style="120" customWidth="1"/>
    <col min="4616" max="4616" width="5.25" style="120" bestFit="1" customWidth="1"/>
    <col min="4617" max="4864" width="8.875" style="120"/>
    <col min="4865" max="4865" width="6.875" style="120" customWidth="1"/>
    <col min="4866" max="4866" width="46.75" style="120" bestFit="1" customWidth="1"/>
    <col min="4867" max="4867" width="15.75" style="120" customWidth="1"/>
    <col min="4868" max="4868" width="19" style="120" bestFit="1" customWidth="1"/>
    <col min="4869" max="4869" width="15.75" style="120" customWidth="1"/>
    <col min="4870" max="4870" width="19.25" style="120" bestFit="1" customWidth="1"/>
    <col min="4871" max="4871" width="15.75" style="120" customWidth="1"/>
    <col min="4872" max="4872" width="5.25" style="120" bestFit="1" customWidth="1"/>
    <col min="4873" max="5120" width="8.875" style="120"/>
    <col min="5121" max="5121" width="6.875" style="120" customWidth="1"/>
    <col min="5122" max="5122" width="46.75" style="120" bestFit="1" customWidth="1"/>
    <col min="5123" max="5123" width="15.75" style="120" customWidth="1"/>
    <col min="5124" max="5124" width="19" style="120" bestFit="1" customWidth="1"/>
    <col min="5125" max="5125" width="15.75" style="120" customWidth="1"/>
    <col min="5126" max="5126" width="19.25" style="120" bestFit="1" customWidth="1"/>
    <col min="5127" max="5127" width="15.75" style="120" customWidth="1"/>
    <col min="5128" max="5128" width="5.25" style="120" bestFit="1" customWidth="1"/>
    <col min="5129" max="5376" width="8.875" style="120"/>
    <col min="5377" max="5377" width="6.875" style="120" customWidth="1"/>
    <col min="5378" max="5378" width="46.75" style="120" bestFit="1" customWidth="1"/>
    <col min="5379" max="5379" width="15.75" style="120" customWidth="1"/>
    <col min="5380" max="5380" width="19" style="120" bestFit="1" customWidth="1"/>
    <col min="5381" max="5381" width="15.75" style="120" customWidth="1"/>
    <col min="5382" max="5382" width="19.25" style="120" bestFit="1" customWidth="1"/>
    <col min="5383" max="5383" width="15.75" style="120" customWidth="1"/>
    <col min="5384" max="5384" width="5.25" style="120" bestFit="1" customWidth="1"/>
    <col min="5385" max="5632" width="8.875" style="120"/>
    <col min="5633" max="5633" width="6.875" style="120" customWidth="1"/>
    <col min="5634" max="5634" width="46.75" style="120" bestFit="1" customWidth="1"/>
    <col min="5635" max="5635" width="15.75" style="120" customWidth="1"/>
    <col min="5636" max="5636" width="19" style="120" bestFit="1" customWidth="1"/>
    <col min="5637" max="5637" width="15.75" style="120" customWidth="1"/>
    <col min="5638" max="5638" width="19.25" style="120" bestFit="1" customWidth="1"/>
    <col min="5639" max="5639" width="15.75" style="120" customWidth="1"/>
    <col min="5640" max="5640" width="5.25" style="120" bestFit="1" customWidth="1"/>
    <col min="5641" max="5888" width="8.875" style="120"/>
    <col min="5889" max="5889" width="6.875" style="120" customWidth="1"/>
    <col min="5890" max="5890" width="46.75" style="120" bestFit="1" customWidth="1"/>
    <col min="5891" max="5891" width="15.75" style="120" customWidth="1"/>
    <col min="5892" max="5892" width="19" style="120" bestFit="1" customWidth="1"/>
    <col min="5893" max="5893" width="15.75" style="120" customWidth="1"/>
    <col min="5894" max="5894" width="19.25" style="120" bestFit="1" customWidth="1"/>
    <col min="5895" max="5895" width="15.75" style="120" customWidth="1"/>
    <col min="5896" max="5896" width="5.25" style="120" bestFit="1" customWidth="1"/>
    <col min="5897" max="6144" width="8.875" style="120"/>
    <col min="6145" max="6145" width="6.875" style="120" customWidth="1"/>
    <col min="6146" max="6146" width="46.75" style="120" bestFit="1" customWidth="1"/>
    <col min="6147" max="6147" width="15.75" style="120" customWidth="1"/>
    <col min="6148" max="6148" width="19" style="120" bestFit="1" customWidth="1"/>
    <col min="6149" max="6149" width="15.75" style="120" customWidth="1"/>
    <col min="6150" max="6150" width="19.25" style="120" bestFit="1" customWidth="1"/>
    <col min="6151" max="6151" width="15.75" style="120" customWidth="1"/>
    <col min="6152" max="6152" width="5.25" style="120" bestFit="1" customWidth="1"/>
    <col min="6153" max="6400" width="8.875" style="120"/>
    <col min="6401" max="6401" width="6.875" style="120" customWidth="1"/>
    <col min="6402" max="6402" width="46.75" style="120" bestFit="1" customWidth="1"/>
    <col min="6403" max="6403" width="15.75" style="120" customWidth="1"/>
    <col min="6404" max="6404" width="19" style="120" bestFit="1" customWidth="1"/>
    <col min="6405" max="6405" width="15.75" style="120" customWidth="1"/>
    <col min="6406" max="6406" width="19.25" style="120" bestFit="1" customWidth="1"/>
    <col min="6407" max="6407" width="15.75" style="120" customWidth="1"/>
    <col min="6408" max="6408" width="5.25" style="120" bestFit="1" customWidth="1"/>
    <col min="6409" max="6656" width="8.875" style="120"/>
    <col min="6657" max="6657" width="6.875" style="120" customWidth="1"/>
    <col min="6658" max="6658" width="46.75" style="120" bestFit="1" customWidth="1"/>
    <col min="6659" max="6659" width="15.75" style="120" customWidth="1"/>
    <col min="6660" max="6660" width="19" style="120" bestFit="1" customWidth="1"/>
    <col min="6661" max="6661" width="15.75" style="120" customWidth="1"/>
    <col min="6662" max="6662" width="19.25" style="120" bestFit="1" customWidth="1"/>
    <col min="6663" max="6663" width="15.75" style="120" customWidth="1"/>
    <col min="6664" max="6664" width="5.25" style="120" bestFit="1" customWidth="1"/>
    <col min="6665" max="6912" width="8.875" style="120"/>
    <col min="6913" max="6913" width="6.875" style="120" customWidth="1"/>
    <col min="6914" max="6914" width="46.75" style="120" bestFit="1" customWidth="1"/>
    <col min="6915" max="6915" width="15.75" style="120" customWidth="1"/>
    <col min="6916" max="6916" width="19" style="120" bestFit="1" customWidth="1"/>
    <col min="6917" max="6917" width="15.75" style="120" customWidth="1"/>
    <col min="6918" max="6918" width="19.25" style="120" bestFit="1" customWidth="1"/>
    <col min="6919" max="6919" width="15.75" style="120" customWidth="1"/>
    <col min="6920" max="6920" width="5.25" style="120" bestFit="1" customWidth="1"/>
    <col min="6921" max="7168" width="8.875" style="120"/>
    <col min="7169" max="7169" width="6.875" style="120" customWidth="1"/>
    <col min="7170" max="7170" width="46.75" style="120" bestFit="1" customWidth="1"/>
    <col min="7171" max="7171" width="15.75" style="120" customWidth="1"/>
    <col min="7172" max="7172" width="19" style="120" bestFit="1" customWidth="1"/>
    <col min="7173" max="7173" width="15.75" style="120" customWidth="1"/>
    <col min="7174" max="7174" width="19.25" style="120" bestFit="1" customWidth="1"/>
    <col min="7175" max="7175" width="15.75" style="120" customWidth="1"/>
    <col min="7176" max="7176" width="5.25" style="120" bestFit="1" customWidth="1"/>
    <col min="7177" max="7424" width="8.875" style="120"/>
    <col min="7425" max="7425" width="6.875" style="120" customWidth="1"/>
    <col min="7426" max="7426" width="46.75" style="120" bestFit="1" customWidth="1"/>
    <col min="7427" max="7427" width="15.75" style="120" customWidth="1"/>
    <col min="7428" max="7428" width="19" style="120" bestFit="1" customWidth="1"/>
    <col min="7429" max="7429" width="15.75" style="120" customWidth="1"/>
    <col min="7430" max="7430" width="19.25" style="120" bestFit="1" customWidth="1"/>
    <col min="7431" max="7431" width="15.75" style="120" customWidth="1"/>
    <col min="7432" max="7432" width="5.25" style="120" bestFit="1" customWidth="1"/>
    <col min="7433" max="7680" width="8.875" style="120"/>
    <col min="7681" max="7681" width="6.875" style="120" customWidth="1"/>
    <col min="7682" max="7682" width="46.75" style="120" bestFit="1" customWidth="1"/>
    <col min="7683" max="7683" width="15.75" style="120" customWidth="1"/>
    <col min="7684" max="7684" width="19" style="120" bestFit="1" customWidth="1"/>
    <col min="7685" max="7685" width="15.75" style="120" customWidth="1"/>
    <col min="7686" max="7686" width="19.25" style="120" bestFit="1" customWidth="1"/>
    <col min="7687" max="7687" width="15.75" style="120" customWidth="1"/>
    <col min="7688" max="7688" width="5.25" style="120" bestFit="1" customWidth="1"/>
    <col min="7689" max="7936" width="8.875" style="120"/>
    <col min="7937" max="7937" width="6.875" style="120" customWidth="1"/>
    <col min="7938" max="7938" width="46.75" style="120" bestFit="1" customWidth="1"/>
    <col min="7939" max="7939" width="15.75" style="120" customWidth="1"/>
    <col min="7940" max="7940" width="19" style="120" bestFit="1" customWidth="1"/>
    <col min="7941" max="7941" width="15.75" style="120" customWidth="1"/>
    <col min="7942" max="7942" width="19.25" style="120" bestFit="1" customWidth="1"/>
    <col min="7943" max="7943" width="15.75" style="120" customWidth="1"/>
    <col min="7944" max="7944" width="5.25" style="120" bestFit="1" customWidth="1"/>
    <col min="7945" max="8192" width="8.875" style="120"/>
    <col min="8193" max="8193" width="6.875" style="120" customWidth="1"/>
    <col min="8194" max="8194" width="46.75" style="120" bestFit="1" customWidth="1"/>
    <col min="8195" max="8195" width="15.75" style="120" customWidth="1"/>
    <col min="8196" max="8196" width="19" style="120" bestFit="1" customWidth="1"/>
    <col min="8197" max="8197" width="15.75" style="120" customWidth="1"/>
    <col min="8198" max="8198" width="19.25" style="120" bestFit="1" customWidth="1"/>
    <col min="8199" max="8199" width="15.75" style="120" customWidth="1"/>
    <col min="8200" max="8200" width="5.25" style="120" bestFit="1" customWidth="1"/>
    <col min="8201" max="8448" width="8.875" style="120"/>
    <col min="8449" max="8449" width="6.875" style="120" customWidth="1"/>
    <col min="8450" max="8450" width="46.75" style="120" bestFit="1" customWidth="1"/>
    <col min="8451" max="8451" width="15.75" style="120" customWidth="1"/>
    <col min="8452" max="8452" width="19" style="120" bestFit="1" customWidth="1"/>
    <col min="8453" max="8453" width="15.75" style="120" customWidth="1"/>
    <col min="8454" max="8454" width="19.25" style="120" bestFit="1" customWidth="1"/>
    <col min="8455" max="8455" width="15.75" style="120" customWidth="1"/>
    <col min="8456" max="8456" width="5.25" style="120" bestFit="1" customWidth="1"/>
    <col min="8457" max="8704" width="8.875" style="120"/>
    <col min="8705" max="8705" width="6.875" style="120" customWidth="1"/>
    <col min="8706" max="8706" width="46.75" style="120" bestFit="1" customWidth="1"/>
    <col min="8707" max="8707" width="15.75" style="120" customWidth="1"/>
    <col min="8708" max="8708" width="19" style="120" bestFit="1" customWidth="1"/>
    <col min="8709" max="8709" width="15.75" style="120" customWidth="1"/>
    <col min="8710" max="8710" width="19.25" style="120" bestFit="1" customWidth="1"/>
    <col min="8711" max="8711" width="15.75" style="120" customWidth="1"/>
    <col min="8712" max="8712" width="5.25" style="120" bestFit="1" customWidth="1"/>
    <col min="8713" max="8960" width="8.875" style="120"/>
    <col min="8961" max="8961" width="6.875" style="120" customWidth="1"/>
    <col min="8962" max="8962" width="46.75" style="120" bestFit="1" customWidth="1"/>
    <col min="8963" max="8963" width="15.75" style="120" customWidth="1"/>
    <col min="8964" max="8964" width="19" style="120" bestFit="1" customWidth="1"/>
    <col min="8965" max="8965" width="15.75" style="120" customWidth="1"/>
    <col min="8966" max="8966" width="19.25" style="120" bestFit="1" customWidth="1"/>
    <col min="8967" max="8967" width="15.75" style="120" customWidth="1"/>
    <col min="8968" max="8968" width="5.25" style="120" bestFit="1" customWidth="1"/>
    <col min="8969" max="9216" width="8.875" style="120"/>
    <col min="9217" max="9217" width="6.875" style="120" customWidth="1"/>
    <col min="9218" max="9218" width="46.75" style="120" bestFit="1" customWidth="1"/>
    <col min="9219" max="9219" width="15.75" style="120" customWidth="1"/>
    <col min="9220" max="9220" width="19" style="120" bestFit="1" customWidth="1"/>
    <col min="9221" max="9221" width="15.75" style="120" customWidth="1"/>
    <col min="9222" max="9222" width="19.25" style="120" bestFit="1" customWidth="1"/>
    <col min="9223" max="9223" width="15.75" style="120" customWidth="1"/>
    <col min="9224" max="9224" width="5.25" style="120" bestFit="1" customWidth="1"/>
    <col min="9225" max="9472" width="8.875" style="120"/>
    <col min="9473" max="9473" width="6.875" style="120" customWidth="1"/>
    <col min="9474" max="9474" width="46.75" style="120" bestFit="1" customWidth="1"/>
    <col min="9475" max="9475" width="15.75" style="120" customWidth="1"/>
    <col min="9476" max="9476" width="19" style="120" bestFit="1" customWidth="1"/>
    <col min="9477" max="9477" width="15.75" style="120" customWidth="1"/>
    <col min="9478" max="9478" width="19.25" style="120" bestFit="1" customWidth="1"/>
    <col min="9479" max="9479" width="15.75" style="120" customWidth="1"/>
    <col min="9480" max="9480" width="5.25" style="120" bestFit="1" customWidth="1"/>
    <col min="9481" max="9728" width="8.875" style="120"/>
    <col min="9729" max="9729" width="6.875" style="120" customWidth="1"/>
    <col min="9730" max="9730" width="46.75" style="120" bestFit="1" customWidth="1"/>
    <col min="9731" max="9731" width="15.75" style="120" customWidth="1"/>
    <col min="9732" max="9732" width="19" style="120" bestFit="1" customWidth="1"/>
    <col min="9733" max="9733" width="15.75" style="120" customWidth="1"/>
    <col min="9734" max="9734" width="19.25" style="120" bestFit="1" customWidth="1"/>
    <col min="9735" max="9735" width="15.75" style="120" customWidth="1"/>
    <col min="9736" max="9736" width="5.25" style="120" bestFit="1" customWidth="1"/>
    <col min="9737" max="9984" width="8.875" style="120"/>
    <col min="9985" max="9985" width="6.875" style="120" customWidth="1"/>
    <col min="9986" max="9986" width="46.75" style="120" bestFit="1" customWidth="1"/>
    <col min="9987" max="9987" width="15.75" style="120" customWidth="1"/>
    <col min="9988" max="9988" width="19" style="120" bestFit="1" customWidth="1"/>
    <col min="9989" max="9989" width="15.75" style="120" customWidth="1"/>
    <col min="9990" max="9990" width="19.25" style="120" bestFit="1" customWidth="1"/>
    <col min="9991" max="9991" width="15.75" style="120" customWidth="1"/>
    <col min="9992" max="9992" width="5.25" style="120" bestFit="1" customWidth="1"/>
    <col min="9993" max="10240" width="8.875" style="120"/>
    <col min="10241" max="10241" width="6.875" style="120" customWidth="1"/>
    <col min="10242" max="10242" width="46.75" style="120" bestFit="1" customWidth="1"/>
    <col min="10243" max="10243" width="15.75" style="120" customWidth="1"/>
    <col min="10244" max="10244" width="19" style="120" bestFit="1" customWidth="1"/>
    <col min="10245" max="10245" width="15.75" style="120" customWidth="1"/>
    <col min="10246" max="10246" width="19.25" style="120" bestFit="1" customWidth="1"/>
    <col min="10247" max="10247" width="15.75" style="120" customWidth="1"/>
    <col min="10248" max="10248" width="5.25" style="120" bestFit="1" customWidth="1"/>
    <col min="10249" max="10496" width="8.875" style="120"/>
    <col min="10497" max="10497" width="6.875" style="120" customWidth="1"/>
    <col min="10498" max="10498" width="46.75" style="120" bestFit="1" customWidth="1"/>
    <col min="10499" max="10499" width="15.75" style="120" customWidth="1"/>
    <col min="10500" max="10500" width="19" style="120" bestFit="1" customWidth="1"/>
    <col min="10501" max="10501" width="15.75" style="120" customWidth="1"/>
    <col min="10502" max="10502" width="19.25" style="120" bestFit="1" customWidth="1"/>
    <col min="10503" max="10503" width="15.75" style="120" customWidth="1"/>
    <col min="10504" max="10504" width="5.25" style="120" bestFit="1" customWidth="1"/>
    <col min="10505" max="10752" width="8.875" style="120"/>
    <col min="10753" max="10753" width="6.875" style="120" customWidth="1"/>
    <col min="10754" max="10754" width="46.75" style="120" bestFit="1" customWidth="1"/>
    <col min="10755" max="10755" width="15.75" style="120" customWidth="1"/>
    <col min="10756" max="10756" width="19" style="120" bestFit="1" customWidth="1"/>
    <col min="10757" max="10757" width="15.75" style="120" customWidth="1"/>
    <col min="10758" max="10758" width="19.25" style="120" bestFit="1" customWidth="1"/>
    <col min="10759" max="10759" width="15.75" style="120" customWidth="1"/>
    <col min="10760" max="10760" width="5.25" style="120" bestFit="1" customWidth="1"/>
    <col min="10761" max="11008" width="8.875" style="120"/>
    <col min="11009" max="11009" width="6.875" style="120" customWidth="1"/>
    <col min="11010" max="11010" width="46.75" style="120" bestFit="1" customWidth="1"/>
    <col min="11011" max="11011" width="15.75" style="120" customWidth="1"/>
    <col min="11012" max="11012" width="19" style="120" bestFit="1" customWidth="1"/>
    <col min="11013" max="11013" width="15.75" style="120" customWidth="1"/>
    <col min="11014" max="11014" width="19.25" style="120" bestFit="1" customWidth="1"/>
    <col min="11015" max="11015" width="15.75" style="120" customWidth="1"/>
    <col min="11016" max="11016" width="5.25" style="120" bestFit="1" customWidth="1"/>
    <col min="11017" max="11264" width="8.875" style="120"/>
    <col min="11265" max="11265" width="6.875" style="120" customWidth="1"/>
    <col min="11266" max="11266" width="46.75" style="120" bestFit="1" customWidth="1"/>
    <col min="11267" max="11267" width="15.75" style="120" customWidth="1"/>
    <col min="11268" max="11268" width="19" style="120" bestFit="1" customWidth="1"/>
    <col min="11269" max="11269" width="15.75" style="120" customWidth="1"/>
    <col min="11270" max="11270" width="19.25" style="120" bestFit="1" customWidth="1"/>
    <col min="11271" max="11271" width="15.75" style="120" customWidth="1"/>
    <col min="11272" max="11272" width="5.25" style="120" bestFit="1" customWidth="1"/>
    <col min="11273" max="11520" width="8.875" style="120"/>
    <col min="11521" max="11521" width="6.875" style="120" customWidth="1"/>
    <col min="11522" max="11522" width="46.75" style="120" bestFit="1" customWidth="1"/>
    <col min="11523" max="11523" width="15.75" style="120" customWidth="1"/>
    <col min="11524" max="11524" width="19" style="120" bestFit="1" customWidth="1"/>
    <col min="11525" max="11525" width="15.75" style="120" customWidth="1"/>
    <col min="11526" max="11526" width="19.25" style="120" bestFit="1" customWidth="1"/>
    <col min="11527" max="11527" width="15.75" style="120" customWidth="1"/>
    <col min="11528" max="11528" width="5.25" style="120" bestFit="1" customWidth="1"/>
    <col min="11529" max="11776" width="8.875" style="120"/>
    <col min="11777" max="11777" width="6.875" style="120" customWidth="1"/>
    <col min="11778" max="11778" width="46.75" style="120" bestFit="1" customWidth="1"/>
    <col min="11779" max="11779" width="15.75" style="120" customWidth="1"/>
    <col min="11780" max="11780" width="19" style="120" bestFit="1" customWidth="1"/>
    <col min="11781" max="11781" width="15.75" style="120" customWidth="1"/>
    <col min="11782" max="11782" width="19.25" style="120" bestFit="1" customWidth="1"/>
    <col min="11783" max="11783" width="15.75" style="120" customWidth="1"/>
    <col min="11784" max="11784" width="5.25" style="120" bestFit="1" customWidth="1"/>
    <col min="11785" max="12032" width="8.875" style="120"/>
    <col min="12033" max="12033" width="6.875" style="120" customWidth="1"/>
    <col min="12034" max="12034" width="46.75" style="120" bestFit="1" customWidth="1"/>
    <col min="12035" max="12035" width="15.75" style="120" customWidth="1"/>
    <col min="12036" max="12036" width="19" style="120" bestFit="1" customWidth="1"/>
    <col min="12037" max="12037" width="15.75" style="120" customWidth="1"/>
    <col min="12038" max="12038" width="19.25" style="120" bestFit="1" customWidth="1"/>
    <col min="12039" max="12039" width="15.75" style="120" customWidth="1"/>
    <col min="12040" max="12040" width="5.25" style="120" bestFit="1" customWidth="1"/>
    <col min="12041" max="12288" width="8.875" style="120"/>
    <col min="12289" max="12289" width="6.875" style="120" customWidth="1"/>
    <col min="12290" max="12290" width="46.75" style="120" bestFit="1" customWidth="1"/>
    <col min="12291" max="12291" width="15.75" style="120" customWidth="1"/>
    <col min="12292" max="12292" width="19" style="120" bestFit="1" customWidth="1"/>
    <col min="12293" max="12293" width="15.75" style="120" customWidth="1"/>
    <col min="12294" max="12294" width="19.25" style="120" bestFit="1" customWidth="1"/>
    <col min="12295" max="12295" width="15.75" style="120" customWidth="1"/>
    <col min="12296" max="12296" width="5.25" style="120" bestFit="1" customWidth="1"/>
    <col min="12297" max="12544" width="8.875" style="120"/>
    <col min="12545" max="12545" width="6.875" style="120" customWidth="1"/>
    <col min="12546" max="12546" width="46.75" style="120" bestFit="1" customWidth="1"/>
    <col min="12547" max="12547" width="15.75" style="120" customWidth="1"/>
    <col min="12548" max="12548" width="19" style="120" bestFit="1" customWidth="1"/>
    <col min="12549" max="12549" width="15.75" style="120" customWidth="1"/>
    <col min="12550" max="12550" width="19.25" style="120" bestFit="1" customWidth="1"/>
    <col min="12551" max="12551" width="15.75" style="120" customWidth="1"/>
    <col min="12552" max="12552" width="5.25" style="120" bestFit="1" customWidth="1"/>
    <col min="12553" max="12800" width="8.875" style="120"/>
    <col min="12801" max="12801" width="6.875" style="120" customWidth="1"/>
    <col min="12802" max="12802" width="46.75" style="120" bestFit="1" customWidth="1"/>
    <col min="12803" max="12803" width="15.75" style="120" customWidth="1"/>
    <col min="12804" max="12804" width="19" style="120" bestFit="1" customWidth="1"/>
    <col min="12805" max="12805" width="15.75" style="120" customWidth="1"/>
    <col min="12806" max="12806" width="19.25" style="120" bestFit="1" customWidth="1"/>
    <col min="12807" max="12807" width="15.75" style="120" customWidth="1"/>
    <col min="12808" max="12808" width="5.25" style="120" bestFit="1" customWidth="1"/>
    <col min="12809" max="13056" width="8.875" style="120"/>
    <col min="13057" max="13057" width="6.875" style="120" customWidth="1"/>
    <col min="13058" max="13058" width="46.75" style="120" bestFit="1" customWidth="1"/>
    <col min="13059" max="13059" width="15.75" style="120" customWidth="1"/>
    <col min="13060" max="13060" width="19" style="120" bestFit="1" customWidth="1"/>
    <col min="13061" max="13061" width="15.75" style="120" customWidth="1"/>
    <col min="13062" max="13062" width="19.25" style="120" bestFit="1" customWidth="1"/>
    <col min="13063" max="13063" width="15.75" style="120" customWidth="1"/>
    <col min="13064" max="13064" width="5.25" style="120" bestFit="1" customWidth="1"/>
    <col min="13065" max="13312" width="8.875" style="120"/>
    <col min="13313" max="13313" width="6.875" style="120" customWidth="1"/>
    <col min="13314" max="13314" width="46.75" style="120" bestFit="1" customWidth="1"/>
    <col min="13315" max="13315" width="15.75" style="120" customWidth="1"/>
    <col min="13316" max="13316" width="19" style="120" bestFit="1" customWidth="1"/>
    <col min="13317" max="13317" width="15.75" style="120" customWidth="1"/>
    <col min="13318" max="13318" width="19.25" style="120" bestFit="1" customWidth="1"/>
    <col min="13319" max="13319" width="15.75" style="120" customWidth="1"/>
    <col min="13320" max="13320" width="5.25" style="120" bestFit="1" customWidth="1"/>
    <col min="13321" max="13568" width="8.875" style="120"/>
    <col min="13569" max="13569" width="6.875" style="120" customWidth="1"/>
    <col min="13570" max="13570" width="46.75" style="120" bestFit="1" customWidth="1"/>
    <col min="13571" max="13571" width="15.75" style="120" customWidth="1"/>
    <col min="13572" max="13572" width="19" style="120" bestFit="1" customWidth="1"/>
    <col min="13573" max="13573" width="15.75" style="120" customWidth="1"/>
    <col min="13574" max="13574" width="19.25" style="120" bestFit="1" customWidth="1"/>
    <col min="13575" max="13575" width="15.75" style="120" customWidth="1"/>
    <col min="13576" max="13576" width="5.25" style="120" bestFit="1" customWidth="1"/>
    <col min="13577" max="13824" width="8.875" style="120"/>
    <col min="13825" max="13825" width="6.875" style="120" customWidth="1"/>
    <col min="13826" max="13826" width="46.75" style="120" bestFit="1" customWidth="1"/>
    <col min="13827" max="13827" width="15.75" style="120" customWidth="1"/>
    <col min="13828" max="13828" width="19" style="120" bestFit="1" customWidth="1"/>
    <col min="13829" max="13829" width="15.75" style="120" customWidth="1"/>
    <col min="13830" max="13830" width="19.25" style="120" bestFit="1" customWidth="1"/>
    <col min="13831" max="13831" width="15.75" style="120" customWidth="1"/>
    <col min="13832" max="13832" width="5.25" style="120" bestFit="1" customWidth="1"/>
    <col min="13833" max="14080" width="8.875" style="120"/>
    <col min="14081" max="14081" width="6.875" style="120" customWidth="1"/>
    <col min="14082" max="14082" width="46.75" style="120" bestFit="1" customWidth="1"/>
    <col min="14083" max="14083" width="15.75" style="120" customWidth="1"/>
    <col min="14084" max="14084" width="19" style="120" bestFit="1" customWidth="1"/>
    <col min="14085" max="14085" width="15.75" style="120" customWidth="1"/>
    <col min="14086" max="14086" width="19.25" style="120" bestFit="1" customWidth="1"/>
    <col min="14087" max="14087" width="15.75" style="120" customWidth="1"/>
    <col min="14088" max="14088" width="5.25" style="120" bestFit="1" customWidth="1"/>
    <col min="14089" max="14336" width="8.875" style="120"/>
    <col min="14337" max="14337" width="6.875" style="120" customWidth="1"/>
    <col min="14338" max="14338" width="46.75" style="120" bestFit="1" customWidth="1"/>
    <col min="14339" max="14339" width="15.75" style="120" customWidth="1"/>
    <col min="14340" max="14340" width="19" style="120" bestFit="1" customWidth="1"/>
    <col min="14341" max="14341" width="15.75" style="120" customWidth="1"/>
    <col min="14342" max="14342" width="19.25" style="120" bestFit="1" customWidth="1"/>
    <col min="14343" max="14343" width="15.75" style="120" customWidth="1"/>
    <col min="14344" max="14344" width="5.25" style="120" bestFit="1" customWidth="1"/>
    <col min="14345" max="14592" width="8.875" style="120"/>
    <col min="14593" max="14593" width="6.875" style="120" customWidth="1"/>
    <col min="14594" max="14594" width="46.75" style="120" bestFit="1" customWidth="1"/>
    <col min="14595" max="14595" width="15.75" style="120" customWidth="1"/>
    <col min="14596" max="14596" width="19" style="120" bestFit="1" customWidth="1"/>
    <col min="14597" max="14597" width="15.75" style="120" customWidth="1"/>
    <col min="14598" max="14598" width="19.25" style="120" bestFit="1" customWidth="1"/>
    <col min="14599" max="14599" width="15.75" style="120" customWidth="1"/>
    <col min="14600" max="14600" width="5.25" style="120" bestFit="1" customWidth="1"/>
    <col min="14601" max="14848" width="8.875" style="120"/>
    <col min="14849" max="14849" width="6.875" style="120" customWidth="1"/>
    <col min="14850" max="14850" width="46.75" style="120" bestFit="1" customWidth="1"/>
    <col min="14851" max="14851" width="15.75" style="120" customWidth="1"/>
    <col min="14852" max="14852" width="19" style="120" bestFit="1" customWidth="1"/>
    <col min="14853" max="14853" width="15.75" style="120" customWidth="1"/>
    <col min="14854" max="14854" width="19.25" style="120" bestFit="1" customWidth="1"/>
    <col min="14855" max="14855" width="15.75" style="120" customWidth="1"/>
    <col min="14856" max="14856" width="5.25" style="120" bestFit="1" customWidth="1"/>
    <col min="14857" max="15104" width="8.875" style="120"/>
    <col min="15105" max="15105" width="6.875" style="120" customWidth="1"/>
    <col min="15106" max="15106" width="46.75" style="120" bestFit="1" customWidth="1"/>
    <col min="15107" max="15107" width="15.75" style="120" customWidth="1"/>
    <col min="15108" max="15108" width="19" style="120" bestFit="1" customWidth="1"/>
    <col min="15109" max="15109" width="15.75" style="120" customWidth="1"/>
    <col min="15110" max="15110" width="19.25" style="120" bestFit="1" customWidth="1"/>
    <col min="15111" max="15111" width="15.75" style="120" customWidth="1"/>
    <col min="15112" max="15112" width="5.25" style="120" bestFit="1" customWidth="1"/>
    <col min="15113" max="15360" width="8.875" style="120"/>
    <col min="15361" max="15361" width="6.875" style="120" customWidth="1"/>
    <col min="15362" max="15362" width="46.75" style="120" bestFit="1" customWidth="1"/>
    <col min="15363" max="15363" width="15.75" style="120" customWidth="1"/>
    <col min="15364" max="15364" width="19" style="120" bestFit="1" customWidth="1"/>
    <col min="15365" max="15365" width="15.75" style="120" customWidth="1"/>
    <col min="15366" max="15366" width="19.25" style="120" bestFit="1" customWidth="1"/>
    <col min="15367" max="15367" width="15.75" style="120" customWidth="1"/>
    <col min="15368" max="15368" width="5.25" style="120" bestFit="1" customWidth="1"/>
    <col min="15369" max="15616" width="8.875" style="120"/>
    <col min="15617" max="15617" width="6.875" style="120" customWidth="1"/>
    <col min="15618" max="15618" width="46.75" style="120" bestFit="1" customWidth="1"/>
    <col min="15619" max="15619" width="15.75" style="120" customWidth="1"/>
    <col min="15620" max="15620" width="19" style="120" bestFit="1" customWidth="1"/>
    <col min="15621" max="15621" width="15.75" style="120" customWidth="1"/>
    <col min="15622" max="15622" width="19.25" style="120" bestFit="1" customWidth="1"/>
    <col min="15623" max="15623" width="15.75" style="120" customWidth="1"/>
    <col min="15624" max="15624" width="5.25" style="120" bestFit="1" customWidth="1"/>
    <col min="15625" max="15872" width="8.875" style="120"/>
    <col min="15873" max="15873" width="6.875" style="120" customWidth="1"/>
    <col min="15874" max="15874" width="46.75" style="120" bestFit="1" customWidth="1"/>
    <col min="15875" max="15875" width="15.75" style="120" customWidth="1"/>
    <col min="15876" max="15876" width="19" style="120" bestFit="1" customWidth="1"/>
    <col min="15877" max="15877" width="15.75" style="120" customWidth="1"/>
    <col min="15878" max="15878" width="19.25" style="120" bestFit="1" customWidth="1"/>
    <col min="15879" max="15879" width="15.75" style="120" customWidth="1"/>
    <col min="15880" max="15880" width="5.25" style="120" bestFit="1" customWidth="1"/>
    <col min="15881" max="16128" width="8.875" style="120"/>
    <col min="16129" max="16129" width="6.875" style="120" customWidth="1"/>
    <col min="16130" max="16130" width="46.75" style="120" bestFit="1" customWidth="1"/>
    <col min="16131" max="16131" width="15.75" style="120" customWidth="1"/>
    <col min="16132" max="16132" width="19" style="120" bestFit="1" customWidth="1"/>
    <col min="16133" max="16133" width="15.75" style="120" customWidth="1"/>
    <col min="16134" max="16134" width="19.25" style="120" bestFit="1" customWidth="1"/>
    <col min="16135" max="16135" width="15.75" style="120" customWidth="1"/>
    <col min="16136" max="16136" width="5.25" style="120" bestFit="1" customWidth="1"/>
    <col min="16137" max="16384" width="8.875" style="120"/>
  </cols>
  <sheetData>
    <row r="1" spans="2:13" s="118" customFormat="1" x14ac:dyDescent="0.35"/>
    <row r="2" spans="2:13" ht="17.25" customHeight="1" x14ac:dyDescent="0.35">
      <c r="B2" s="208" t="s">
        <v>165</v>
      </c>
      <c r="C2" s="208"/>
      <c r="D2" s="118"/>
      <c r="E2" s="118"/>
      <c r="F2" s="292"/>
      <c r="G2" s="292"/>
      <c r="H2" s="118"/>
    </row>
    <row r="3" spans="2:13" ht="18" customHeight="1" x14ac:dyDescent="0.35">
      <c r="B3" s="360"/>
      <c r="C3" s="360"/>
      <c r="D3" s="118"/>
      <c r="E3" s="118"/>
      <c r="F3" s="292"/>
      <c r="G3" s="292"/>
      <c r="H3" s="118"/>
    </row>
    <row r="4" spans="2:13" ht="18" customHeight="1" x14ac:dyDescent="0.35">
      <c r="B4" s="293" t="s">
        <v>7</v>
      </c>
      <c r="C4" s="293" t="s">
        <v>8</v>
      </c>
      <c r="D4" s="361"/>
      <c r="E4" s="361"/>
      <c r="F4" s="361"/>
      <c r="G4" s="292"/>
      <c r="H4" s="118"/>
    </row>
    <row r="5" spans="2:13" s="118" customFormat="1" x14ac:dyDescent="0.35">
      <c r="B5" s="361" t="str">
        <f>IF(ISBLANK(Directions!C6), "Owner", Directions!C6)</f>
        <v>Owner</v>
      </c>
      <c r="C5" s="362" t="str">
        <f>IF(ISBLANK(Directions!D6), "Company 1", Directions!D6)</f>
        <v>Company 1</v>
      </c>
      <c r="D5" s="362"/>
      <c r="E5" s="362"/>
      <c r="F5" s="362"/>
      <c r="G5" s="363"/>
      <c r="I5" s="364"/>
      <c r="J5" s="364"/>
      <c r="K5" s="364"/>
      <c r="L5" s="364"/>
      <c r="M5" s="364"/>
    </row>
    <row r="6" spans="2:13" s="118" customFormat="1" x14ac:dyDescent="0.35">
      <c r="I6" s="364"/>
      <c r="J6" s="364"/>
      <c r="K6" s="364"/>
      <c r="L6" s="364"/>
      <c r="M6" s="364"/>
    </row>
    <row r="7" spans="2:13" ht="17.25" customHeight="1" thickBot="1" x14ac:dyDescent="0.4">
      <c r="B7" s="129" t="s">
        <v>166</v>
      </c>
      <c r="C7" s="178" t="str">
        <f>IF(Directions!F6&gt;0,Directions!F6,"First Year")</f>
        <v>First Year</v>
      </c>
      <c r="D7" s="129" t="s">
        <v>91</v>
      </c>
      <c r="E7" s="178" t="str">
        <f>IF(Directions!F6&gt;0,Directions!F6+1,"Second Year")</f>
        <v>Second Year</v>
      </c>
      <c r="F7" s="129" t="s">
        <v>92</v>
      </c>
      <c r="G7" s="178" t="str">
        <f>IF(Directions!F6&gt;0,Directions!F6+2,"Third Year")</f>
        <v>Third Year</v>
      </c>
      <c r="H7" s="118"/>
      <c r="I7" s="364"/>
      <c r="J7" s="364"/>
      <c r="K7" s="364"/>
      <c r="L7" s="364"/>
      <c r="M7" s="364"/>
    </row>
    <row r="8" spans="2:13" ht="16.5" thickTop="1" x14ac:dyDescent="0.35">
      <c r="B8" s="365" t="str">
        <f>'5a-OpExYear1'!B10</f>
        <v>Advertising</v>
      </c>
      <c r="C8" s="182">
        <f>'5a-OpExYear1'!O10</f>
        <v>0</v>
      </c>
      <c r="D8" s="181">
        <v>0.03</v>
      </c>
      <c r="E8" s="182">
        <f t="shared" ref="E8:E22" si="0">C8*(1+D8)</f>
        <v>0</v>
      </c>
      <c r="F8" s="181">
        <v>0.03</v>
      </c>
      <c r="G8" s="182">
        <f t="shared" ref="G8:G22" si="1">E8*(1+F8)</f>
        <v>0</v>
      </c>
      <c r="H8" s="118"/>
    </row>
    <row r="9" spans="2:13" x14ac:dyDescent="0.35">
      <c r="B9" s="365" t="str">
        <f>'5a-OpExYear1'!B11</f>
        <v>Car and Truck Expenses</v>
      </c>
      <c r="C9" s="186">
        <f>'5a-OpExYear1'!O11</f>
        <v>0</v>
      </c>
      <c r="D9" s="185">
        <v>0.03</v>
      </c>
      <c r="E9" s="186">
        <f t="shared" si="0"/>
        <v>0</v>
      </c>
      <c r="F9" s="185">
        <v>0.03</v>
      </c>
      <c r="G9" s="186">
        <f t="shared" si="1"/>
        <v>0</v>
      </c>
      <c r="H9" s="118"/>
    </row>
    <row r="10" spans="2:13" x14ac:dyDescent="0.35">
      <c r="B10" s="365" t="str">
        <f>'5a-OpExYear1'!B12</f>
        <v>Commissions and Fees</v>
      </c>
      <c r="C10" s="186">
        <f>'5a-OpExYear1'!O12</f>
        <v>0</v>
      </c>
      <c r="D10" s="185">
        <v>0.05</v>
      </c>
      <c r="E10" s="186">
        <f t="shared" si="0"/>
        <v>0</v>
      </c>
      <c r="F10" s="185">
        <v>0.05</v>
      </c>
      <c r="G10" s="186">
        <f t="shared" si="1"/>
        <v>0</v>
      </c>
      <c r="H10" s="118"/>
    </row>
    <row r="11" spans="2:13" x14ac:dyDescent="0.35">
      <c r="B11" s="365" t="str">
        <f>'5a-OpExYear1'!B13</f>
        <v>Contract Labor (Not included in payroll)</v>
      </c>
      <c r="C11" s="186">
        <f>'5a-OpExYear1'!O13</f>
        <v>0</v>
      </c>
      <c r="D11" s="185">
        <v>0.03</v>
      </c>
      <c r="E11" s="186">
        <f t="shared" si="0"/>
        <v>0</v>
      </c>
      <c r="F11" s="185">
        <v>0.03</v>
      </c>
      <c r="G11" s="186">
        <f t="shared" si="1"/>
        <v>0</v>
      </c>
      <c r="H11" s="118"/>
    </row>
    <row r="12" spans="2:13" x14ac:dyDescent="0.35">
      <c r="B12" s="365" t="str">
        <f>'5a-OpExYear1'!B14</f>
        <v>Insurance (other than health)</v>
      </c>
      <c r="C12" s="186">
        <f>'5a-OpExYear1'!O14</f>
        <v>0</v>
      </c>
      <c r="D12" s="185">
        <v>0.03</v>
      </c>
      <c r="E12" s="186">
        <f t="shared" si="0"/>
        <v>0</v>
      </c>
      <c r="F12" s="185">
        <v>0.03</v>
      </c>
      <c r="G12" s="186">
        <f t="shared" si="1"/>
        <v>0</v>
      </c>
      <c r="H12" s="118"/>
    </row>
    <row r="13" spans="2:13" x14ac:dyDescent="0.35">
      <c r="B13" s="365" t="str">
        <f>'5a-OpExYear1'!B15</f>
        <v>Legal and Professional Services</v>
      </c>
      <c r="C13" s="186">
        <f>'5a-OpExYear1'!O15</f>
        <v>0</v>
      </c>
      <c r="D13" s="185">
        <v>0.03</v>
      </c>
      <c r="E13" s="186">
        <f t="shared" si="0"/>
        <v>0</v>
      </c>
      <c r="F13" s="185">
        <v>0.03</v>
      </c>
      <c r="G13" s="186">
        <f t="shared" si="1"/>
        <v>0</v>
      </c>
      <c r="H13" s="118"/>
    </row>
    <row r="14" spans="2:13" x14ac:dyDescent="0.35">
      <c r="B14" s="365" t="str">
        <f>'5a-OpExYear1'!B16</f>
        <v>Licenses</v>
      </c>
      <c r="C14" s="186">
        <f>'5a-OpExYear1'!O16</f>
        <v>0</v>
      </c>
      <c r="D14" s="185">
        <v>0.05</v>
      </c>
      <c r="E14" s="186">
        <f t="shared" si="0"/>
        <v>0</v>
      </c>
      <c r="F14" s="185">
        <v>0.05</v>
      </c>
      <c r="G14" s="186">
        <f t="shared" si="1"/>
        <v>0</v>
      </c>
      <c r="H14" s="118"/>
    </row>
    <row r="15" spans="2:13" x14ac:dyDescent="0.35">
      <c r="B15" s="365" t="str">
        <f>'5a-OpExYear1'!B17</f>
        <v>Office Expense</v>
      </c>
      <c r="C15" s="186">
        <f>'5a-OpExYear1'!O17</f>
        <v>0</v>
      </c>
      <c r="D15" s="185">
        <v>0.03</v>
      </c>
      <c r="E15" s="186">
        <f t="shared" si="0"/>
        <v>0</v>
      </c>
      <c r="F15" s="185">
        <v>0.03</v>
      </c>
      <c r="G15" s="186">
        <f t="shared" si="1"/>
        <v>0</v>
      </c>
      <c r="H15" s="118"/>
    </row>
    <row r="16" spans="2:13" x14ac:dyDescent="0.35">
      <c r="B16" s="365" t="str">
        <f>'5a-OpExYear1'!B18</f>
        <v>Rent or Lease -- Vehicles, Machinery, Equipment</v>
      </c>
      <c r="C16" s="186">
        <f>'5a-OpExYear1'!O18</f>
        <v>0</v>
      </c>
      <c r="D16" s="185">
        <v>0.03</v>
      </c>
      <c r="E16" s="186">
        <f t="shared" si="0"/>
        <v>0</v>
      </c>
      <c r="F16" s="185">
        <v>0.03</v>
      </c>
      <c r="G16" s="186">
        <f t="shared" si="1"/>
        <v>0</v>
      </c>
      <c r="H16" s="118"/>
    </row>
    <row r="17" spans="2:10" x14ac:dyDescent="0.35">
      <c r="B17" s="365" t="str">
        <f>'5a-OpExYear1'!B19</f>
        <v>Rent or Lease -- Other Business Property</v>
      </c>
      <c r="C17" s="186">
        <f>'5a-OpExYear1'!O19</f>
        <v>0</v>
      </c>
      <c r="D17" s="185">
        <v>0.03</v>
      </c>
      <c r="E17" s="186">
        <f t="shared" si="0"/>
        <v>0</v>
      </c>
      <c r="F17" s="185">
        <v>0.03</v>
      </c>
      <c r="G17" s="186">
        <f t="shared" si="1"/>
        <v>0</v>
      </c>
      <c r="H17" s="118"/>
    </row>
    <row r="18" spans="2:10" x14ac:dyDescent="0.35">
      <c r="B18" s="365" t="str">
        <f>'5a-OpExYear1'!B20</f>
        <v>Repairs and Maintenance</v>
      </c>
      <c r="C18" s="186">
        <f>'5a-OpExYear1'!O20</f>
        <v>0</v>
      </c>
      <c r="D18" s="185">
        <v>0.05</v>
      </c>
      <c r="E18" s="186">
        <f t="shared" si="0"/>
        <v>0</v>
      </c>
      <c r="F18" s="185">
        <v>0.05</v>
      </c>
      <c r="G18" s="186">
        <f t="shared" si="1"/>
        <v>0</v>
      </c>
      <c r="H18" s="118"/>
    </row>
    <row r="19" spans="2:10" x14ac:dyDescent="0.35">
      <c r="B19" s="365" t="str">
        <f>'5a-OpExYear1'!B21</f>
        <v>Supplies</v>
      </c>
      <c r="C19" s="186">
        <f>'5a-OpExYear1'!O21</f>
        <v>0</v>
      </c>
      <c r="D19" s="185">
        <v>0.03</v>
      </c>
      <c r="E19" s="186">
        <f t="shared" si="0"/>
        <v>0</v>
      </c>
      <c r="F19" s="185">
        <v>0.03</v>
      </c>
      <c r="G19" s="186">
        <f t="shared" si="1"/>
        <v>0</v>
      </c>
      <c r="H19" s="118"/>
    </row>
    <row r="20" spans="2:10" x14ac:dyDescent="0.35">
      <c r="B20" s="365" t="str">
        <f>'5a-OpExYear1'!B22</f>
        <v>Travel, Meals and Entertainment</v>
      </c>
      <c r="C20" s="186">
        <f>'5a-OpExYear1'!O22</f>
        <v>0</v>
      </c>
      <c r="D20" s="185">
        <v>0.03</v>
      </c>
      <c r="E20" s="186">
        <f t="shared" si="0"/>
        <v>0</v>
      </c>
      <c r="F20" s="185">
        <v>0.03</v>
      </c>
      <c r="G20" s="186">
        <f t="shared" si="1"/>
        <v>0</v>
      </c>
      <c r="H20" s="118"/>
    </row>
    <row r="21" spans="2:10" x14ac:dyDescent="0.35">
      <c r="B21" s="365" t="str">
        <f>'5a-OpExYear1'!B23</f>
        <v>Utilities</v>
      </c>
      <c r="C21" s="186">
        <f>'5a-OpExYear1'!O23</f>
        <v>0</v>
      </c>
      <c r="D21" s="185">
        <v>0.03</v>
      </c>
      <c r="E21" s="186">
        <f t="shared" si="0"/>
        <v>0</v>
      </c>
      <c r="F21" s="185">
        <v>0.03</v>
      </c>
      <c r="G21" s="186">
        <f t="shared" si="1"/>
        <v>0</v>
      </c>
      <c r="H21" s="118"/>
    </row>
    <row r="22" spans="2:10" x14ac:dyDescent="0.35">
      <c r="B22" s="365" t="str">
        <f>'5a-OpExYear1'!B24</f>
        <v xml:space="preserve">Miscellaneous </v>
      </c>
      <c r="C22" s="186">
        <f>'5a-OpExYear1'!O24</f>
        <v>0</v>
      </c>
      <c r="D22" s="185">
        <v>0.03</v>
      </c>
      <c r="E22" s="186">
        <f t="shared" si="0"/>
        <v>0</v>
      </c>
      <c r="F22" s="185">
        <v>0.03</v>
      </c>
      <c r="G22" s="186">
        <f t="shared" si="1"/>
        <v>0</v>
      </c>
      <c r="H22" s="118"/>
    </row>
    <row r="23" spans="2:10" x14ac:dyDescent="0.35">
      <c r="B23" s="366" t="s">
        <v>157</v>
      </c>
      <c r="C23" s="189">
        <f>SUM(C8:C22)</f>
        <v>0</v>
      </c>
      <c r="D23" s="185"/>
      <c r="E23" s="189">
        <f>SUM(E8:E22)</f>
        <v>0</v>
      </c>
      <c r="F23" s="185"/>
      <c r="G23" s="189">
        <f>SUM(G8:G22)</f>
        <v>0</v>
      </c>
      <c r="H23" s="118"/>
    </row>
    <row r="24" spans="2:10" x14ac:dyDescent="0.35">
      <c r="B24" s="348"/>
      <c r="C24" s="186"/>
      <c r="D24" s="188"/>
      <c r="E24" s="186"/>
      <c r="F24" s="188"/>
      <c r="G24" s="186"/>
      <c r="H24" s="118"/>
    </row>
    <row r="25" spans="2:10" x14ac:dyDescent="0.35">
      <c r="B25" s="353" t="s">
        <v>158</v>
      </c>
      <c r="C25" s="186"/>
      <c r="D25" s="188"/>
      <c r="E25" s="186"/>
      <c r="F25" s="188"/>
      <c r="G25" s="186"/>
      <c r="H25" s="118"/>
    </row>
    <row r="26" spans="2:10" x14ac:dyDescent="0.35">
      <c r="B26" s="354" t="s">
        <v>159</v>
      </c>
      <c r="C26" s="367">
        <f>'5a-OpExYear1'!O28</f>
        <v>0</v>
      </c>
      <c r="D26" s="368"/>
      <c r="E26" s="186">
        <f>'Amortization&amp;Depreciation'!O123</f>
        <v>0</v>
      </c>
      <c r="F26" s="368"/>
      <c r="G26" s="186">
        <f>'Amortization&amp;Depreciation'!O127</f>
        <v>0</v>
      </c>
      <c r="H26" s="118"/>
    </row>
    <row r="27" spans="2:10" x14ac:dyDescent="0.35">
      <c r="B27" s="354" t="s">
        <v>160</v>
      </c>
      <c r="C27" s="369"/>
      <c r="D27" s="368"/>
      <c r="E27" s="186"/>
      <c r="F27" s="368"/>
      <c r="G27" s="186"/>
      <c r="H27" s="118"/>
    </row>
    <row r="28" spans="2:10" x14ac:dyDescent="0.35">
      <c r="B28" s="356" t="str">
        <f>'1-StartingPoint'!B37</f>
        <v>Commercial Loan</v>
      </c>
      <c r="C28" s="355">
        <f>'5a-OpExYear1'!O30</f>
        <v>0</v>
      </c>
      <c r="D28" s="368"/>
      <c r="E28" s="186">
        <f>IF('1-StartingPoint'!$F37&lt;36, 0, 'Amortization&amp;Depreciation'!O19)</f>
        <v>0</v>
      </c>
      <c r="F28" s="368"/>
      <c r="G28" s="186">
        <f>IF('1-StartingPoint'!$F37&lt;36, 0, 'Amortization&amp;Depreciation'!O23)</f>
        <v>0</v>
      </c>
      <c r="H28" s="118"/>
    </row>
    <row r="29" spans="2:10" x14ac:dyDescent="0.35">
      <c r="B29" s="356" t="str">
        <f>'1-StartingPoint'!B38</f>
        <v>Commercial Mortgage</v>
      </c>
      <c r="C29" s="355">
        <f>'5a-OpExYear1'!O31</f>
        <v>0</v>
      </c>
      <c r="D29" s="368"/>
      <c r="E29" s="186">
        <f>IF('1-StartingPoint'!$F38&lt;36, 0, 'Amortization&amp;Depreciation'!O39)</f>
        <v>0</v>
      </c>
      <c r="F29" s="368"/>
      <c r="G29" s="186">
        <f>IF('1-StartingPoint'!$F38&lt;36, 0, 'Amortization&amp;Depreciation'!O43)</f>
        <v>0</v>
      </c>
    </row>
    <row r="30" spans="2:10" x14ac:dyDescent="0.35">
      <c r="B30" s="356" t="str">
        <f>'1-StartingPoint'!B39</f>
        <v>Credit Card Debt</v>
      </c>
      <c r="C30" s="355">
        <f>'5a-OpExYear1'!O32</f>
        <v>0</v>
      </c>
      <c r="D30" s="368"/>
      <c r="E30" s="186">
        <f>IF('1-StartingPoint'!$F39&lt;36, 0, 'Amortization&amp;Depreciation'!O59)</f>
        <v>0</v>
      </c>
      <c r="F30" s="368"/>
      <c r="G30" s="186">
        <f>IF('1-StartingPoint'!$F39&lt;36, 0, 'Amortization&amp;Depreciation'!O63)</f>
        <v>0</v>
      </c>
    </row>
    <row r="31" spans="2:10" x14ac:dyDescent="0.35">
      <c r="B31" s="356" t="str">
        <f>'1-StartingPoint'!B40</f>
        <v>Vehicle Loans</v>
      </c>
      <c r="C31" s="355">
        <f>'5a-OpExYear1'!O33</f>
        <v>0</v>
      </c>
      <c r="D31" s="368"/>
      <c r="E31" s="186">
        <f>IF('1-StartingPoint'!$F40&lt;36, 0, 'Amortization&amp;Depreciation'!O79)</f>
        <v>0</v>
      </c>
      <c r="F31" s="368"/>
      <c r="G31" s="186">
        <f>IF('1-StartingPoint'!$F40&lt;36, 0, 'Amortization&amp;Depreciation'!O83)</f>
        <v>0</v>
      </c>
    </row>
    <row r="32" spans="2:10" x14ac:dyDescent="0.35">
      <c r="B32" s="356" t="str">
        <f>'1-StartingPoint'!B41</f>
        <v>Other Bank Debt</v>
      </c>
      <c r="C32" s="355">
        <f>'5a-OpExYear1'!O34</f>
        <v>0</v>
      </c>
      <c r="D32" s="368"/>
      <c r="E32" s="186">
        <f>IF('1-StartingPoint'!$F41&lt;36, 0, 'Amortization&amp;Depreciation'!O99)</f>
        <v>0</v>
      </c>
      <c r="F32" s="368"/>
      <c r="G32" s="186">
        <f>IF('1-StartingPoint'!$F41&lt;36, 0, 'Amortization&amp;Depreciation'!O103)</f>
        <v>0</v>
      </c>
      <c r="J32" s="370"/>
    </row>
    <row r="33" spans="2:7" x14ac:dyDescent="0.35">
      <c r="B33" s="356" t="s">
        <v>161</v>
      </c>
      <c r="C33" s="355">
        <f>+'6a-CashFlowYear1'!O26</f>
        <v>0</v>
      </c>
      <c r="D33" s="368"/>
      <c r="E33" s="182">
        <f>+'6b-CashFlowYrs1-3'!O25</f>
        <v>0</v>
      </c>
      <c r="F33" s="368"/>
      <c r="G33" s="371">
        <f>'6b-CashFlowYrs1-3'!AB25</f>
        <v>0</v>
      </c>
    </row>
    <row r="34" spans="2:7" x14ac:dyDescent="0.35">
      <c r="B34" s="354" t="s">
        <v>162</v>
      </c>
      <c r="C34" s="372">
        <f>+'5a-OpExYear1'!O36</f>
        <v>0</v>
      </c>
      <c r="D34" s="368"/>
      <c r="E34" s="182"/>
      <c r="F34" s="368"/>
      <c r="G34" s="182"/>
    </row>
    <row r="35" spans="2:7" x14ac:dyDescent="0.35">
      <c r="B35" s="373" t="s">
        <v>163</v>
      </c>
      <c r="C35" s="374">
        <f>SUM(C26:C34)</f>
        <v>0</v>
      </c>
      <c r="D35" s="368"/>
      <c r="E35" s="375">
        <f>SUM(E26:E34)</f>
        <v>0</v>
      </c>
      <c r="F35" s="368"/>
      <c r="G35" s="375">
        <f>SUM(G26:G34)</f>
        <v>0</v>
      </c>
    </row>
    <row r="36" spans="2:7" x14ac:dyDescent="0.35">
      <c r="B36" s="145" t="s">
        <v>167</v>
      </c>
      <c r="C36" s="376">
        <f>SUM(C8:C22)+C35</f>
        <v>0</v>
      </c>
      <c r="D36" s="138"/>
      <c r="E36" s="376">
        <f>SUM(E8:E22)+E35</f>
        <v>0</v>
      </c>
      <c r="F36" s="138"/>
      <c r="G36" s="376">
        <f>SUM(G8:G22)+G35</f>
        <v>0</v>
      </c>
    </row>
  </sheetData>
  <sheetProtection formatColumns="0" formatRows="0"/>
  <mergeCells count="2">
    <mergeCell ref="B2:C2"/>
    <mergeCell ref="C5:F5"/>
  </mergeCells>
  <conditionalFormatting sqref="E26 G26">
    <cfRule type="containsBlanks" dxfId="50" priority="1">
      <formula>LEN(TRIM(E26))=0</formula>
    </cfRule>
  </conditionalFormatting>
  <printOptions horizontalCentered="1"/>
  <pageMargins left="0.25" right="0.25" top="0.75" bottom="0.75" header="0.3" footer="0.3"/>
  <pageSetup scale="94" orientation="landscape" r:id="rId1"/>
  <headerFooter scaleWithDoc="0">
    <oddHeader>&amp;C&amp;"Gill Sans MT,Regular"&amp;12Operating Expenses Years 1-3</oddHeader>
    <oddFooter>&amp;L&amp;"Gill Sans MT,Regular"&amp;12&amp;F&amp;C&amp;"Gill Sans MT,Regular"&amp;12&amp;A&amp;R&amp;"Gill Sans MT,Regular"&amp;12&amp;D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95</vt:i4>
      </vt:variant>
    </vt:vector>
  </HeadingPairs>
  <TitlesOfParts>
    <vt:vector size="115" baseType="lpstr">
      <vt:lpstr>Directions</vt:lpstr>
      <vt:lpstr>1-StartingPoint</vt:lpstr>
      <vt:lpstr>2a-PayrollYear1</vt:lpstr>
      <vt:lpstr>2b-PayrollYrs1-3</vt:lpstr>
      <vt:lpstr>3a-SalesForecastYear1</vt:lpstr>
      <vt:lpstr>3b-SalesForecastYrs1-3</vt:lpstr>
      <vt:lpstr>4-AdditionalInputs</vt:lpstr>
      <vt:lpstr>5a-OpExYear1</vt:lpstr>
      <vt:lpstr>5b-OpExYrs1-3</vt:lpstr>
      <vt:lpstr>6a-CashFlowYear1</vt:lpstr>
      <vt:lpstr>6b-CashFlowYrs1-3</vt:lpstr>
      <vt:lpstr>7a-IncomeStatementYear1</vt:lpstr>
      <vt:lpstr>7b-IncomeStatementYrs1-3</vt:lpstr>
      <vt:lpstr>8-BalanceSheet</vt:lpstr>
      <vt:lpstr>BreakevenAnalysis</vt:lpstr>
      <vt:lpstr>FinancialRatios</vt:lpstr>
      <vt:lpstr>DiagnosticTools</vt:lpstr>
      <vt:lpstr>COGS Calculator</vt:lpstr>
      <vt:lpstr>Amortization&amp;Depreciation</vt:lpstr>
      <vt:lpstr>Revision Notes</vt:lpstr>
      <vt:lpstr>AddLoans</vt:lpstr>
      <vt:lpstr>Advertising</vt:lpstr>
      <vt:lpstr>Buildings</vt:lpstr>
      <vt:lpstr>Category1</vt:lpstr>
      <vt:lpstr>Category1_Annual_Sales</vt:lpstr>
      <vt:lpstr>Category2</vt:lpstr>
      <vt:lpstr>Category2_Annual_Sales</vt:lpstr>
      <vt:lpstr>Category3</vt:lpstr>
      <vt:lpstr>Category3_Annual_Sales</vt:lpstr>
      <vt:lpstr>Category4</vt:lpstr>
      <vt:lpstr>Category4_Annual_Sales</vt:lpstr>
      <vt:lpstr>Category5</vt:lpstr>
      <vt:lpstr>Category5_Annual_Sales</vt:lpstr>
      <vt:lpstr>Category6</vt:lpstr>
      <vt:lpstr>Category6_Annual_Sales</vt:lpstr>
      <vt:lpstr>Catergory6</vt:lpstr>
      <vt:lpstr>CCDebt</vt:lpstr>
      <vt:lpstr>COGS_Annual_Total</vt:lpstr>
      <vt:lpstr>CommLoan</vt:lpstr>
      <vt:lpstr>CommMortgage</vt:lpstr>
      <vt:lpstr>Equipment</vt:lpstr>
      <vt:lpstr>Furniture</vt:lpstr>
      <vt:lpstr>Growth_Rate_Yr2</vt:lpstr>
      <vt:lpstr>Growth_Rate_Yr3</vt:lpstr>
      <vt:lpstr>'3a-SalesForecastYear1'!Hours</vt:lpstr>
      <vt:lpstr>Inventory</vt:lpstr>
      <vt:lpstr>Land</vt:lpstr>
      <vt:lpstr>LeaseImprovements</vt:lpstr>
      <vt:lpstr>LegalAcctFees</vt:lpstr>
      <vt:lpstr>Licenses</vt:lpstr>
      <vt:lpstr>Margin_Annual_Total</vt:lpstr>
      <vt:lpstr>Misc_Expenses</vt:lpstr>
      <vt:lpstr>NetIncomeY1</vt:lpstr>
      <vt:lpstr>NetIncomeY2</vt:lpstr>
      <vt:lpstr>NetIncomeY3</vt:lpstr>
      <vt:lpstr>OfficeSupplies_Expenses</vt:lpstr>
      <vt:lpstr>Other_Expenses</vt:lpstr>
      <vt:lpstr>OtherBankDebt</vt:lpstr>
      <vt:lpstr>OtherFixedAssets</vt:lpstr>
      <vt:lpstr>OtherStartUp</vt:lpstr>
      <vt:lpstr>OutsideInvest</vt:lpstr>
      <vt:lpstr>OwnerEquity</vt:lpstr>
      <vt:lpstr>PreOpenWages</vt:lpstr>
      <vt:lpstr>PrepaidInsurance</vt:lpstr>
      <vt:lpstr>'1-StartingPoint'!Print_Area</vt:lpstr>
      <vt:lpstr>'2a-PayrollYear1'!Print_Area</vt:lpstr>
      <vt:lpstr>'2b-PayrollYrs1-3'!Print_Area</vt:lpstr>
      <vt:lpstr>'3a-SalesForecastYear1'!Print_Area</vt:lpstr>
      <vt:lpstr>'3b-SalesForecastYrs1-3'!Print_Area</vt:lpstr>
      <vt:lpstr>'4-AdditionalInputs'!Print_Area</vt:lpstr>
      <vt:lpstr>'5a-OpExYear1'!Print_Area</vt:lpstr>
      <vt:lpstr>'5b-OpExYrs1-3'!Print_Area</vt:lpstr>
      <vt:lpstr>'6a-CashFlowYear1'!Print_Area</vt:lpstr>
      <vt:lpstr>'6b-CashFlowYrs1-3'!Print_Area</vt:lpstr>
      <vt:lpstr>'7a-IncomeStatementYear1'!Print_Area</vt:lpstr>
      <vt:lpstr>'7b-IncomeStatementYrs1-3'!Print_Area</vt:lpstr>
      <vt:lpstr>'8-BalanceSheet'!Print_Area</vt:lpstr>
      <vt:lpstr>'Amortization&amp;Depreciation'!Print_Area</vt:lpstr>
      <vt:lpstr>BreakevenAnalysis!Print_Area</vt:lpstr>
      <vt:lpstr>'COGS Calculator'!Print_Area</vt:lpstr>
      <vt:lpstr>DiagnosticTools!Print_Area</vt:lpstr>
      <vt:lpstr>Directions!Print_Area</vt:lpstr>
      <vt:lpstr>FinancialRatios!Print_Area</vt:lpstr>
      <vt:lpstr>'3b-SalesForecastYrs1-3'!Print_Titles</vt:lpstr>
      <vt:lpstr>'6b-CashFlowYrs1-3'!Print_Titles</vt:lpstr>
      <vt:lpstr>RentDeposit</vt:lpstr>
      <vt:lpstr>Sales_Annual_Total</vt:lpstr>
      <vt:lpstr>Supplies</vt:lpstr>
      <vt:lpstr>Total_Fixed_Assets</vt:lpstr>
      <vt:lpstr>TotalFixedAssets</vt:lpstr>
      <vt:lpstr>TotalFunding</vt:lpstr>
      <vt:lpstr>TotalOperatingCapital</vt:lpstr>
      <vt:lpstr>TotalRequiredFunds</vt:lpstr>
      <vt:lpstr>Unit1</vt:lpstr>
      <vt:lpstr>Unit1_Annual</vt:lpstr>
      <vt:lpstr>Unit1_Annual_Sales</vt:lpstr>
      <vt:lpstr>Unit2</vt:lpstr>
      <vt:lpstr>Unit2_Annual</vt:lpstr>
      <vt:lpstr>Unit2_Annual_Sales</vt:lpstr>
      <vt:lpstr>Unit3</vt:lpstr>
      <vt:lpstr>Unit3_Annual</vt:lpstr>
      <vt:lpstr>Unit3_Annual_Sales</vt:lpstr>
      <vt:lpstr>Unit4</vt:lpstr>
      <vt:lpstr>Unit4_Annual</vt:lpstr>
      <vt:lpstr>Unit5</vt:lpstr>
      <vt:lpstr>Unit5_Annual</vt:lpstr>
      <vt:lpstr>Unit6</vt:lpstr>
      <vt:lpstr>Unit6_Annual</vt:lpstr>
      <vt:lpstr>Units_Annual_Total</vt:lpstr>
      <vt:lpstr>UtilityDeposit</vt:lpstr>
      <vt:lpstr>VehicleLoan</vt:lpstr>
      <vt:lpstr>Vehicles</vt:lpstr>
      <vt:lpstr>Working_Capital</vt:lpstr>
      <vt:lpstr>WorkingCapital</vt:lpstr>
      <vt:lpstr>Y1EndingCashBal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2021-11-02T17:22:26Z</dcterms:modified>
</cp:coreProperties>
</file>